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ml.chartshapes+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Default Extension="jpeg" ContentType="image/jpeg"/>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120" yWindow="30" windowWidth="10155" windowHeight="6645"/>
  </bookViews>
  <sheets>
    <sheet name="Title" sheetId="12" r:id="rId1"/>
    <sheet name="Metadata" sheetId="28" r:id="rId2"/>
    <sheet name="Contents" sheetId="1" r:id="rId3"/>
    <sheet name="Overview" sheetId="20" r:id="rId4"/>
    <sheet name="Table 1.1" sheetId="2" r:id="rId5"/>
    <sheet name="Figure 3" sheetId="3" r:id="rId6"/>
    <sheet name="Figure 4" sheetId="4" r:id="rId7"/>
    <sheet name="Table 1.2" sheetId="5" r:id="rId8"/>
    <sheet name="Figure 5" sheetId="6" r:id="rId9"/>
    <sheet name="Table 1.3" sheetId="7" r:id="rId10"/>
    <sheet name="Figure 6" sheetId="8" r:id="rId11"/>
    <sheet name="Table 1.4" sheetId="23" r:id="rId12"/>
    <sheet name="Figure 7" sheetId="24" r:id="rId13"/>
    <sheet name="Table 1.5" sheetId="25" r:id="rId14"/>
    <sheet name="Figure 8" sheetId="26" r:id="rId15"/>
    <sheet name="Figure 9" sheetId="10" r:id="rId16"/>
    <sheet name="Table 1.6" sheetId="9" r:id="rId17"/>
    <sheet name="Figure 10" sheetId="11" r:id="rId18"/>
    <sheet name="Appendix" sheetId="13" r:id="rId19"/>
    <sheet name="Figure 11" sheetId="14" r:id="rId20"/>
    <sheet name="Figure 12" sheetId="15" r:id="rId21"/>
    <sheet name="Figure 13" sheetId="16" r:id="rId22"/>
    <sheet name="Figure 14" sheetId="17" r:id="rId23"/>
    <sheet name="Figure 15" sheetId="18" r:id="rId24"/>
    <sheet name="Figure 16" sheetId="19" r:id="rId25"/>
    <sheet name="Figure 17" sheetId="21" r:id="rId26"/>
    <sheet name="Figure 18" sheetId="22" r:id="rId27"/>
  </sheets>
  <externalReferences>
    <externalReference r:id="rId28"/>
    <externalReference r:id="rId29"/>
  </externalReferences>
  <calcPr calcId="125725"/>
</workbook>
</file>

<file path=xl/calcChain.xml><?xml version="1.0" encoding="utf-8"?>
<calcChain xmlns="http://schemas.openxmlformats.org/spreadsheetml/2006/main">
  <c r="Q8" i="5"/>
  <c r="F11" i="25"/>
  <c r="E11"/>
  <c r="D11"/>
  <c r="C11"/>
  <c r="Q10" i="5" l="1"/>
  <c r="P10"/>
  <c r="O10"/>
  <c r="N10"/>
  <c r="M10"/>
  <c r="L10"/>
  <c r="K10"/>
  <c r="J10"/>
  <c r="I10"/>
  <c r="H10"/>
  <c r="G10"/>
  <c r="F10"/>
  <c r="E10"/>
  <c r="D10"/>
  <c r="Q9"/>
  <c r="P9"/>
  <c r="O9"/>
  <c r="N9"/>
  <c r="M9"/>
  <c r="L9"/>
  <c r="K9"/>
  <c r="J9"/>
  <c r="I9"/>
  <c r="H9"/>
  <c r="G9"/>
  <c r="F9"/>
  <c r="E9"/>
  <c r="D9"/>
  <c r="P8"/>
  <c r="O8"/>
  <c r="N8"/>
  <c r="M8"/>
  <c r="L8"/>
  <c r="K8"/>
  <c r="J8"/>
  <c r="I8"/>
  <c r="H8"/>
  <c r="G8"/>
  <c r="F8"/>
  <c r="E8"/>
  <c r="D8"/>
  <c r="Q7"/>
  <c r="P7"/>
  <c r="O7"/>
  <c r="N7"/>
  <c r="M7"/>
  <c r="L7"/>
  <c r="K7"/>
  <c r="J7"/>
  <c r="I7"/>
  <c r="H7"/>
  <c r="G7"/>
  <c r="F7"/>
  <c r="E7"/>
  <c r="D7"/>
  <c r="Q6"/>
  <c r="P6"/>
  <c r="O6"/>
  <c r="N6"/>
  <c r="M6"/>
  <c r="L6"/>
  <c r="K6"/>
  <c r="J6"/>
  <c r="I6"/>
  <c r="H6"/>
  <c r="G6"/>
  <c r="F6"/>
  <c r="E6"/>
  <c r="D6"/>
  <c r="Q5"/>
  <c r="P5"/>
  <c r="O5"/>
  <c r="N5"/>
  <c r="M5"/>
  <c r="L5"/>
  <c r="K5"/>
  <c r="J5"/>
  <c r="I5"/>
  <c r="H5"/>
  <c r="G5"/>
  <c r="F5"/>
  <c r="E5"/>
  <c r="D5"/>
  <c r="G11" i="2"/>
  <c r="F11"/>
  <c r="E11"/>
  <c r="D11"/>
  <c r="C11"/>
  <c r="I10"/>
  <c r="H10"/>
  <c r="H9"/>
  <c r="I9" s="1"/>
  <c r="I8"/>
  <c r="H8"/>
  <c r="H7"/>
  <c r="I7" s="1"/>
  <c r="I6"/>
  <c r="H6"/>
  <c r="H11" s="1"/>
  <c r="I11" s="1"/>
  <c r="I10" i="25"/>
  <c r="I8"/>
  <c r="I7"/>
  <c r="I6"/>
</calcChain>
</file>

<file path=xl/sharedStrings.xml><?xml version="1.0" encoding="utf-8"?>
<sst xmlns="http://schemas.openxmlformats.org/spreadsheetml/2006/main" count="312" uniqueCount="222">
  <si>
    <t>HSC Trust</t>
  </si>
  <si>
    <t>Age (years)</t>
  </si>
  <si>
    <t>Under 1</t>
  </si>
  <si>
    <t>1 - 4</t>
  </si>
  <si>
    <t>5 - 11</t>
  </si>
  <si>
    <t>12 - 15</t>
  </si>
  <si>
    <t>16 +</t>
  </si>
  <si>
    <t>Total</t>
  </si>
  <si>
    <t>Per 10,000 Population Under 18</t>
  </si>
  <si>
    <t>Belfast</t>
  </si>
  <si>
    <t>Northern</t>
  </si>
  <si>
    <t>South Eastern</t>
  </si>
  <si>
    <t xml:space="preserve">Southern </t>
  </si>
  <si>
    <t>Western</t>
  </si>
  <si>
    <t>Northern Ireland</t>
  </si>
  <si>
    <t>Quarter Ending</t>
  </si>
  <si>
    <t>31st March 2010</t>
  </si>
  <si>
    <t xml:space="preserve">30th June 2010    </t>
  </si>
  <si>
    <t>30th September 2010</t>
  </si>
  <si>
    <t>31st December 2010</t>
  </si>
  <si>
    <t>31st March 2011</t>
  </si>
  <si>
    <t>30th June 2011</t>
  </si>
  <si>
    <t>30th September 2011</t>
  </si>
  <si>
    <t>31st December 2011</t>
  </si>
  <si>
    <t>31st March 2012</t>
  </si>
  <si>
    <t>30th June 2012</t>
  </si>
  <si>
    <t>Southern</t>
  </si>
  <si>
    <t>Table 1.2: Child Protection Register per 10,000 of the population Under 18 Years</t>
  </si>
  <si>
    <t>Legal Status</t>
  </si>
  <si>
    <t>Emergency Protection Order (Article 63 &amp; 64)</t>
  </si>
  <si>
    <t>Accommodated (Article 21)</t>
  </si>
  <si>
    <t>Interim Care Order          (Article 57)</t>
  </si>
  <si>
    <t>Care Order (Article 50 or 59)</t>
  </si>
  <si>
    <t>Deemed Care Order (Paras 11 &amp; 30 of    Sch 8)</t>
  </si>
  <si>
    <t>Interim Supervision Order        (Article 57)</t>
  </si>
  <si>
    <t>Other</t>
  </si>
  <si>
    <t>None</t>
  </si>
  <si>
    <t xml:space="preserve">Belfast </t>
  </si>
  <si>
    <t xml:space="preserve">Northern </t>
  </si>
  <si>
    <t xml:space="preserve">South Eastern </t>
  </si>
  <si>
    <t>Source of Referral</t>
  </si>
  <si>
    <t>Police</t>
  </si>
  <si>
    <r>
      <t xml:space="preserve">School / EWO </t>
    </r>
    <r>
      <rPr>
        <b/>
        <vertAlign val="superscript"/>
        <sz val="9"/>
        <rFont val="Arial"/>
        <family val="2"/>
      </rPr>
      <t>1</t>
    </r>
  </si>
  <si>
    <t>Voluntary Org.</t>
  </si>
  <si>
    <t>GP</t>
  </si>
  <si>
    <t>Social Services</t>
  </si>
  <si>
    <t>Comm. Nursing</t>
  </si>
  <si>
    <t>Relative</t>
  </si>
  <si>
    <t>Neighbour / Friend</t>
  </si>
  <si>
    <t>Hospital</t>
  </si>
  <si>
    <t>Self</t>
  </si>
  <si>
    <t>Anon</t>
  </si>
  <si>
    <t>Contents</t>
  </si>
  <si>
    <t>Table 1.1</t>
  </si>
  <si>
    <t>Table 1.2</t>
  </si>
  <si>
    <t>Table 1.4</t>
  </si>
  <si>
    <t>Table 1.3</t>
  </si>
  <si>
    <t>Tables</t>
  </si>
  <si>
    <t>Figures</t>
  </si>
  <si>
    <t>Figure 1</t>
  </si>
  <si>
    <t>Figure 2</t>
  </si>
  <si>
    <t>Figure 3</t>
  </si>
  <si>
    <t>Figure 4</t>
  </si>
  <si>
    <t>Figure 6</t>
  </si>
  <si>
    <t>Child Protection Register per 10,000 of the Population Under 18 Years</t>
  </si>
  <si>
    <t>Appendix</t>
  </si>
  <si>
    <t>Figure 8</t>
  </si>
  <si>
    <t>Figure 9</t>
  </si>
  <si>
    <t>Figure 10</t>
  </si>
  <si>
    <t>Figure 11</t>
  </si>
  <si>
    <t>Figure 12</t>
  </si>
  <si>
    <t>Figure 13</t>
  </si>
  <si>
    <t xml:space="preserve">Overview </t>
  </si>
  <si>
    <t>Child Protection Register</t>
  </si>
  <si>
    <t>Child Protection Referrals</t>
  </si>
  <si>
    <t>30th September 2012</t>
  </si>
  <si>
    <t xml:space="preserve">Western </t>
  </si>
  <si>
    <t>Table 1.6</t>
  </si>
  <si>
    <t>Table 1.5</t>
  </si>
  <si>
    <t>Figure 14</t>
  </si>
  <si>
    <t>Figure 15</t>
  </si>
  <si>
    <t>Figure 16</t>
  </si>
  <si>
    <t>Figure 17</t>
  </si>
  <si>
    <t>Figure 18</t>
  </si>
  <si>
    <t>Figure 5</t>
  </si>
  <si>
    <t>Figure 7</t>
  </si>
  <si>
    <t>Category of Abuse</t>
  </si>
  <si>
    <t xml:space="preserve">                                                    HSC Trust</t>
  </si>
  <si>
    <t>Neglect, Physical Abuse and Sexual Abuse</t>
  </si>
  <si>
    <t>Neglect and Physical Abuse</t>
  </si>
  <si>
    <t>Neglect and Sexual Abuse</t>
  </si>
  <si>
    <t>Physical and Sexual Abuse</t>
  </si>
  <si>
    <t>Neglect Only</t>
  </si>
  <si>
    <t>Physical Abuse Only</t>
  </si>
  <si>
    <t>Sexual Abuse Only</t>
  </si>
  <si>
    <t>Emotional Abuse Only</t>
  </si>
  <si>
    <t xml:space="preserve">                                          Total</t>
  </si>
  <si>
    <t>Source: Children Order Return CPR2</t>
  </si>
  <si>
    <t>Source: Children Order Return CPR4</t>
  </si>
  <si>
    <t>Source: Children Order Return CPR3</t>
  </si>
  <si>
    <t>Duration</t>
  </si>
  <si>
    <t>&lt; 3 Months</t>
  </si>
  <si>
    <t>3 + Years</t>
  </si>
  <si>
    <t>Source: Children Order Return CPR5</t>
  </si>
  <si>
    <r>
      <t>[1]</t>
    </r>
    <r>
      <rPr>
        <b/>
        <sz val="8"/>
        <color rgb="FF808080"/>
        <rFont val="Arial"/>
        <family val="2"/>
      </rPr>
      <t xml:space="preserve"> EWO – Educational Welfare Officer</t>
    </r>
  </si>
  <si>
    <t>Source: Children Order Returns CPR3 &amp; CPR4</t>
  </si>
  <si>
    <t>Source: Quarterly Regional Child Protection Committee Returns</t>
  </si>
  <si>
    <t>EWO – Educational Welfare Officer</t>
  </si>
  <si>
    <t>Note: 'Others' includes Chinese, Irish Travellers, Indian, Black and Other</t>
  </si>
  <si>
    <t>Note: 'Other Denomination' refers to all other Christian and non - Christian denominations and faiths</t>
  </si>
  <si>
    <t>31st December 2012</t>
  </si>
  <si>
    <t>Some figures may differ from previous publications due to release of new NISRA Mid-Year Estimates</t>
  </si>
  <si>
    <t>A register must be maintained by each Trust listing every child in the Trust area who has been abused or who is considered to be at risk of abuse, and who is currently the subject of a child protection plan.</t>
  </si>
  <si>
    <t>Population Figures Based on latest available NISRA Mid-Year Estimates for 2010 &amp; 2011</t>
  </si>
  <si>
    <t>31st March 2013</t>
  </si>
  <si>
    <t>Belfast HSC Trust</t>
  </si>
  <si>
    <t>Northern HSC Trust</t>
  </si>
  <si>
    <t>South Eastern HSC Trust</t>
  </si>
  <si>
    <t>Southern HSC Trust</t>
  </si>
  <si>
    <t>Western HSC Trust</t>
  </si>
  <si>
    <t>30th June 2013</t>
  </si>
  <si>
    <t>-</t>
  </si>
  <si>
    <t xml:space="preserve">“ - ” cell counts have been suppressed to avoid personal disclosure. </t>
  </si>
  <si>
    <t>3 Months &lt;     6 Months</t>
  </si>
  <si>
    <t>6 Months &lt;     1 Year</t>
  </si>
  <si>
    <t>1 Year &lt;          2 Years</t>
  </si>
  <si>
    <t>2 Years &lt;        3 Years</t>
  </si>
  <si>
    <t>Category of abuse is recorded on the Child Protection Register as neglect, physical abuse, sexual abuse, emotional abuse or a combination of these.</t>
  </si>
  <si>
    <t>Table 1A</t>
  </si>
  <si>
    <t>Number of Children on the Child Protection Register by Age at 30 September 2013</t>
  </si>
  <si>
    <t>Legal Status of Children on the Child Protection Register at 30 September 2013</t>
  </si>
  <si>
    <t>Children on the Child Protection Register by Category of Abuse at 30 September 2013</t>
  </si>
  <si>
    <t>Children on the Child Protection Register by Duration at 30 September 2013</t>
  </si>
  <si>
    <t>Child Protection Referrals by Source of Referral for Quarter Ending 30 September 2013</t>
  </si>
  <si>
    <t>Children on the Child Protection Register 31 March 2002 - 30 September 2013</t>
  </si>
  <si>
    <t>Child Protection Referrals 31 March 2010 - 30 September 2013</t>
  </si>
  <si>
    <t>The Age Profile of Children on the Child Protection Register at 30 September 2013</t>
  </si>
  <si>
    <t>Number of Children on the Child Protection Register by Trust 31 March 2010 - 30 September 2013</t>
  </si>
  <si>
    <t>Children on the Child Protection Register per 10,000 Population Under 18 Years 31 March 2010 - 30 September 2013</t>
  </si>
  <si>
    <t>Legal Status of Children on the Child Protection Register 31 March 2010 - 30 September 2013</t>
  </si>
  <si>
    <t>Source of Child Protection Referrals in Northern Ireland 31 March 2010 - 30 September 2013</t>
  </si>
  <si>
    <t>Child Protection Referrals by Trust 31 March 2010 - 30 September 2013</t>
  </si>
  <si>
    <t>Child Protection Register and Referral Counts for the Belfast HSC Trust 31 March 2010 - 30 September 2013</t>
  </si>
  <si>
    <t>Child Protection Register and Referral Counts for the Northern HSC Trust 31 March 2010 - 30 September 2013</t>
  </si>
  <si>
    <t>Child Protection Register and Referral Counts for the South Eastern HSC Trust 31 March 2010 - 30 September 2013</t>
  </si>
  <si>
    <t>Child Protection Register and Referral Counts for the Southern HSC Trust 31 March 2010 - 30 September 2013</t>
  </si>
  <si>
    <t>Child Protection Register and Referral Counts for the Western HSC Trust 31 March 2010 - 30 September 2013</t>
  </si>
  <si>
    <t>Child Protection Register and Referral Counts for Northern Ireland 31 March 2010 - 30 September 2013</t>
  </si>
  <si>
    <t>Child Protection Register by Ethnic Origin at 30 September 2013</t>
  </si>
  <si>
    <t>Child Protection Register by Religion at 30 September 2013</t>
  </si>
  <si>
    <t>Legal Staus of Children on the Child Protection Register at 30 September 2013 (Trust Level)</t>
  </si>
  <si>
    <t>Children Order Child Protection and Referral Statistics for Northern Ireland (quarter ending 30 September 2013)</t>
  </si>
  <si>
    <t>Figure 2: Child Protection Referrals 31 March 2010 - 30 September 2013</t>
  </si>
  <si>
    <t>Figure 9: Source of Child Protection Referrals in Northern Ireland 31 March 2010 – 30 September 2013</t>
  </si>
  <si>
    <t>Table 1.6: Child Protection Referrals by Source of Referral for Quarter ending 30 September 2013</t>
  </si>
  <si>
    <t>Figure 10: Child Protection Referrals by Trust 31 March 2010 – 30 September 2013</t>
  </si>
  <si>
    <t>Figure 11: Child Protection Register and Referral Counts for the Belfast HSC Trust 31 March 2010 - 30 September 2013</t>
  </si>
  <si>
    <t>Figure 12: Child Protection Register and Referral Counts for the Norethern HSC Trust 31 March 2010 - 30 September 2013</t>
  </si>
  <si>
    <t>Figure 13: Child Protection Register and Referral Counts for the South Eastern HSC Trust 31 March 2010 - 30 September 2013</t>
  </si>
  <si>
    <t>Figure 15: Child Protection Register and Referral Counts for the Western HSC Trust 31 March 2010 - 30 September 2013</t>
  </si>
  <si>
    <t>Figure 16: Child Protection Register and Referral Counts for Northern Ireland 31 March 2010 - 30 September 2013</t>
  </si>
  <si>
    <t xml:space="preserve">Figure 3 sets out the proportion of children on the child protection register by age category and HSC Trust. In general the age distribution was similar in each Trust with most children in the 5-11 age category and least children in the 16 and over category. </t>
  </si>
  <si>
    <t xml:space="preserve">The count of 1,934 children on the Child Protection Register at 30 September 2013 represented an 8% increase on the previous quarter (1,790). </t>
  </si>
  <si>
    <t>30th September 2013</t>
  </si>
  <si>
    <t>In all Trusts most children on the Child Protection Register had no recorded legal status, ranging from 82% in the Western Trust to 92% in both the Northern and South Eastern Trusts.</t>
  </si>
  <si>
    <t>The composition of the Register by legal status has remained relatively stable between 31 March 2010 and 30 June 2013, with a seven percentage point increase in the proportion of children with no legal status and a six percentage point decrease in those children Accommodated (Article 21).</t>
  </si>
  <si>
    <t>Just under a quarter of children were on the Register due to a combination of Neglect, Physical Abuse and Sexual Abuse (23%).</t>
  </si>
  <si>
    <t>Of the categories listed in Figure 7, ‘Sexual Abuse Only’ represented the smallest proportion, across the Trusts, except in the Southern Trust where Emotional Abuse represented the smallest proportion.</t>
  </si>
  <si>
    <t>Just over seven tenths (72%) of children had been on the Register for less than one year at 30 September 2013. Furthermore one quarter of children had been on the Register for less than three months.</t>
  </si>
  <si>
    <t>8% of children had been on the Child Protection Register for two years or longer at 31 March, with 3% registered for three years or longer.</t>
  </si>
  <si>
    <t>The Southern Trust had the largest proportion of children on the Register for less than one year at 79%, in comparison 67% of children in the Northern Trust had been on the Register for this length of time.</t>
  </si>
  <si>
    <t xml:space="preserve">Table 1.6 overleaf sets out the number of child protection referrals for the quarter ending 30 September 2013, by source of referral. </t>
  </si>
  <si>
    <t xml:space="preserve">For all Trusts the main source of referrals was within local Social Services. However variation in these counts exists between Trusts, with almost nine in ten (86%) of referrals in the Northern Trust from Social Services compared to just over two fifths of referrals (44%) in the South Eastern Trust.  </t>
  </si>
  <si>
    <t>As a proportion of the children’s population the South Eastern Trust received the largest number of child protection referrals (36.5 referrals per 10,000 population under 18) and the Belfast Trust the lowest (13.5 referrals per 10,000 population under 18). Overall in Northern Ireland there were 21.7 referrals per 10,000 population under 18 at 30 September 2013.</t>
  </si>
  <si>
    <t>Issued by</t>
  </si>
  <si>
    <t>Community Information Branch</t>
  </si>
  <si>
    <t>Information &amp; Analysis Directorate</t>
  </si>
  <si>
    <t>Department of Health, Social Services &amp; Public Safety</t>
  </si>
  <si>
    <t>Stormont Estate, Belfast, BT4 3SQ</t>
  </si>
  <si>
    <t>Published</t>
  </si>
  <si>
    <t>Email</t>
  </si>
  <si>
    <t>cib@dhsspsni.gov.uk</t>
  </si>
  <si>
    <r>
      <t>Internet</t>
    </r>
    <r>
      <rPr>
        <sz val="10"/>
        <rFont val="Arial"/>
        <family val="2"/>
      </rPr>
      <t xml:space="preserve"> </t>
    </r>
  </si>
  <si>
    <t>http://www.dhsspsni.gov.uk/index/stats_research/stats-cib/statistics_and_research-cib-pub/children_statistics/children_order_quarterly.htm</t>
  </si>
  <si>
    <t>The statistics presented in this bulletin derive from Children Order returns CPR2, CPR3, CPR4, CPR5 and the Regional Child Protection Committee Returns, provided by each of the five Health and Social Care Trusts in Northern Ireland to the Health and Social Care Board  as well as Community Information Branch within the Department of Health, Social Services &amp; Public Safety. These returns are part of a wider set of annual Children Order returns which together provide statistical activity counts relating to Child Protection, Children in Need, Looked After Children, and Children’s Day Care. The wider set of returns are used to produce Children’s Social Care Statistics in Northern Ireland, which records childrens social care data at 31 March and for year ending 31 March, and compares childrens social care data over a five year period.</t>
  </si>
  <si>
    <t>Figure 2 sets out the number of child protection referrals between quarters ending 31 March 2010 and 30 September 2013. 937 Child Protection Referrals were received during quarter ending 30 September 2013; the lowest number of referrals received during the period. The highest number was recorded in quarter ending 31 March 2011, when 1,271 referrals were received.</t>
  </si>
  <si>
    <t>Note: Mid-Year Population Estimates, NISRA 2013</t>
  </si>
  <si>
    <t>Table 1.2 (overleaf) sets out the quarterly number of children on the Child Protection Register per 10,000 population under 18 years. Regionally, the quarterly rate has ranged from 58.9 children per 10,000 population under 18 at 30 September 2010 to 41.5 children per 10,000 under 18 at 30 June 2013.</t>
  </si>
  <si>
    <t xml:space="preserve">The numbers of children on the register per 10,000 populations have been higher in the Belfast and South Eastern Trusts. There are still variations between the Trusts; however the rates have narrowed substantially over the last quarters.  </t>
  </si>
  <si>
    <t>At 30 September 2013 the largest proportions of children were on the Register due to neglect only (29%) and due to physical abuse only (29%).</t>
  </si>
  <si>
    <t>For all Trusts the largest proportions of children were on the Register due to neglect only except in the Southern and Western Trusts where physical abuse only accounted for the largest proportion of children on the Register.</t>
  </si>
  <si>
    <t>2% of children in the Southern Trust had been on the Register for two years or longer compared to 13% of children within the Western and South Eastern Trust who had been on the Register for this length of time.</t>
  </si>
  <si>
    <t>Child Protection Referrals for the quarter ending 30 September 2013 (937) were 17% lower than the previous quarter (1,128) and 3% below the referrals count for the same quarter in 2012 (964).</t>
  </si>
  <si>
    <t>937 child protection referrals were received during quarter ending 30 September 2013. Counts of referrals during this quarter indicated that 31% (295) were in the South Eastern Trust, 27% (250) were in the Southern Trust, 16% (151) were in the Northern Trust, 15% (140) were in the Western Trust and 11% (101) were in the Belfast Trust.</t>
  </si>
  <si>
    <t>The largest proportion of referrals originated from within Social Services (55%), followed by the police (PSNI - 13%), Relatives, neighbours and friends represented 6% and School or an Educational Welfare Officer accounted for (4%) of the referrals.</t>
  </si>
  <si>
    <t xml:space="preserve">The sources of Child Protection Referrals have remained relatively constant since 31 March 2010, with small variations between Referrals from Police, School or medical sources. Social Services have consistently accounted for the highest percentage of Referrals ranging between 40% at quarter ending 30 September 2010 and 55% for quarter ending 30 September 2013.
</t>
  </si>
  <si>
    <t>Compared with the quarter ending 30 June 2013, the number of referrals have fallen by 29% (102) in the Southern Trust, by 25% (34) in the Belfast Trust, by 22% (40) in the Western Trust, by 6% (10) in the Southern Trust and by 2% (5) in the South Eastern Trust.</t>
  </si>
  <si>
    <t>Revised Children Order Child Protection and Referral Statistics for Northern Ireland (quarter ending 30 September 2013)</t>
  </si>
  <si>
    <t>Revised 19-Nov-13</t>
  </si>
  <si>
    <t>At 30 September 2013, 1,933 children were on the Child Protection Register in Northern Ireland. This represents an increase on the previous quarter which is not consistent with the gradual decline in numbers of children on the Register seen throughout 2011 and 2012. The lowest number of children on the Register in the past ten years occurred in 2004, when approximately 400 fewer children were on the Child Protection Register.</t>
  </si>
  <si>
    <t>Figure 1: Revised: Children on the Child Protection Register 31 March 2002 - 30 September 2013</t>
  </si>
  <si>
    <t>At 30 September 2013, 1,933 children were listed on the Child Protection Register in Northern Ireland. This is equivalent to 44.8 children per 10,000 of the population under 18 on the Child Protection Register. Population figures are based on the latest available mid-year estimates from NISRA.</t>
  </si>
  <si>
    <t xml:space="preserve">Just under one quarter (23% - 438) of Children on the Child Protection Register were in the Northern Trust, with 21% (399) in the South Eastern Trust, 20% (387) in the Belfast Trust, 19% (369) in the Southern Trust and 18% (340) in the Western Trust. </t>
  </si>
  <si>
    <t xml:space="preserve">As a proportion of the children’s population Belfast Trust had the largest number of children on the Child Protection Register (51.7 children per 10,000 population under 18) and the Southern Trust the lowest (39.7 children per 10,000 population). </t>
  </si>
  <si>
    <t>37% (722) of children on the Register were aged 5 – 11 years, 29% (567) were aged 1 – 4 years, 18% (351) were aged 12 – 15 years, 11% (215) were under 1 and 4% (78) were aged 16 or over at 30 September 2013, similar to previous quarters.</t>
  </si>
  <si>
    <t>Table 1.1: Revised: Number of Children on the Child Protection Register by Age at 30 September 2013</t>
  </si>
  <si>
    <t>Figure 3: Revised: The Age Profile of Children on the Child Protection Register at 30 September 2013</t>
  </si>
  <si>
    <t>Figure 4: Revised: Child Protection Register Counts by Trust 31 March 2010 - 30 September 2013</t>
  </si>
  <si>
    <t>Compared with the same time last year (September 2012), the number of children registered decreased by 5% (107), from 2,040 to 1,934. Annual changes by Trusts ranged from an increase of 28% (74) in the Western Trust to a drop of 18% (96) in the Northern Trust.</t>
  </si>
  <si>
    <t>Since the previous quarter, register counts increased by 17% (53) in the Southern Trust, by 13% (39) in the Western Trust, by 11% (40) in the South Eastern Trust and by 2% (9) in the Belfast Trust. There was no percentage change in the numbers of children on the register in the Northern Trust.</t>
  </si>
  <si>
    <t>Figure 5: Revised: Children on the Child Protection Register per 10,000 Population Under 18 Years 31 March 2010 - 30 September 2013</t>
  </si>
  <si>
    <t>Table 1.3: Revised: Legal Status of Children on the Child Protection Register at 30 September 2013</t>
  </si>
  <si>
    <t>Table 1.3 sets out the legal status of the children on the Child Protection Register. At 30 June 2013, almost 9 in 10 children (88%) on the Register had no recorded legal status, 5% (88) were Accommodated (Article 21) and 4% (81) were subject to Interim Care Orders.</t>
  </si>
  <si>
    <t>Figure 6: Revised: Legal Status of Children on the Child Protection Register 31 March 2010 – 30 September 2013</t>
  </si>
  <si>
    <t>Table 1.4: Revised: Children on the Child Protection Register by Category of Abuse at 30 September 2013</t>
  </si>
  <si>
    <t>Figure 7: Revised: Children on the Child Protection Register by Category of Abuse and Trust at 30 September 2013</t>
  </si>
  <si>
    <t>At 30 September 2013, the South Eastern Trust had the highest proportion of children on the Child Protection Register due to Mixed Categories of Abuse (30%). In comparison, 18% of children in the Western Trust were registered due to Mixed Categories of Abuse.</t>
  </si>
  <si>
    <t>Figure 8: Revised: Children on the Child Protection Register by Duration and Trust at 30 September 2013</t>
  </si>
  <si>
    <t>Table 1.5: Revised: Children on the Child Protection Register by Duration at 30 September 2013</t>
  </si>
  <si>
    <t>Figure 14: Revised: Child protection and Referral Counts for the Southern HSC Trust 31 March 2010 - 30 September 2013</t>
  </si>
  <si>
    <t>Figure 17: Revised: Child Protection Register by Ethnic Origin at 30 September 2013</t>
  </si>
  <si>
    <t>Figure 18: Revised: Child Protection Register by Religion at 30 September 2013</t>
  </si>
</sst>
</file>

<file path=xl/styles.xml><?xml version="1.0" encoding="utf-8"?>
<styleSheet xmlns="http://schemas.openxmlformats.org/spreadsheetml/2006/main">
  <numFmts count="2">
    <numFmt numFmtId="164" formatCode="#,##0.0"/>
    <numFmt numFmtId="165" formatCode="0.0"/>
  </numFmts>
  <fonts count="24">
    <font>
      <sz val="11"/>
      <color theme="1"/>
      <name val="Calibri"/>
      <family val="2"/>
      <scheme val="minor"/>
    </font>
    <font>
      <sz val="10"/>
      <color theme="1"/>
      <name val="Arial"/>
      <family val="2"/>
    </font>
    <font>
      <sz val="10"/>
      <color theme="1"/>
      <name val="Arial"/>
      <family val="2"/>
    </font>
    <font>
      <sz val="10"/>
      <color theme="1"/>
      <name val="Arial"/>
      <family val="2"/>
    </font>
    <font>
      <b/>
      <sz val="11"/>
      <color theme="1"/>
      <name val="Calibri"/>
      <family val="2"/>
      <scheme val="minor"/>
    </font>
    <font>
      <b/>
      <sz val="9"/>
      <name val="Arial"/>
      <family val="2"/>
    </font>
    <font>
      <sz val="9"/>
      <name val="Arial"/>
      <family val="2"/>
    </font>
    <font>
      <sz val="10"/>
      <color theme="1"/>
      <name val="Arial"/>
      <family val="2"/>
    </font>
    <font>
      <sz val="11"/>
      <color theme="1"/>
      <name val="Arial"/>
      <family val="2"/>
    </font>
    <font>
      <b/>
      <sz val="10"/>
      <color theme="1"/>
      <name val="Arial"/>
      <family val="2"/>
    </font>
    <font>
      <b/>
      <vertAlign val="superscript"/>
      <sz val="9"/>
      <name val="Arial"/>
      <family val="2"/>
    </font>
    <font>
      <sz val="24"/>
      <color theme="1"/>
      <name val="Calibri"/>
      <family val="2"/>
      <scheme val="minor"/>
    </font>
    <font>
      <b/>
      <sz val="18"/>
      <color theme="1"/>
      <name val="Calibri"/>
      <family val="2"/>
      <scheme val="minor"/>
    </font>
    <font>
      <b/>
      <sz val="14"/>
      <color theme="1"/>
      <name val="Calibri"/>
      <family val="2"/>
      <scheme val="minor"/>
    </font>
    <font>
      <u/>
      <sz val="11"/>
      <color theme="10"/>
      <name val="Calibri"/>
      <family val="2"/>
    </font>
    <font>
      <b/>
      <sz val="11"/>
      <color rgb="FF333333"/>
      <name val="Arial"/>
      <family val="2"/>
    </font>
    <font>
      <b/>
      <sz val="8"/>
      <color rgb="FF808080"/>
      <name val="Arial"/>
      <family val="2"/>
    </font>
    <font>
      <b/>
      <sz val="10"/>
      <color theme="0" tint="-0.499984740745262"/>
      <name val="Calibri"/>
      <family val="2"/>
      <scheme val="minor"/>
    </font>
    <font>
      <b/>
      <sz val="8"/>
      <color indexed="23"/>
      <name val="Arial"/>
      <family val="2"/>
    </font>
    <font>
      <b/>
      <vertAlign val="superscript"/>
      <sz val="8"/>
      <color rgb="FF808080"/>
      <name val="Arial"/>
      <family val="2"/>
    </font>
    <font>
      <b/>
      <sz val="12"/>
      <name val="Arial"/>
      <family val="2"/>
    </font>
    <font>
      <sz val="10"/>
      <color theme="1"/>
      <name val="Calibri"/>
      <family val="2"/>
      <scheme val="minor"/>
    </font>
    <font>
      <sz val="10"/>
      <name val="Arial"/>
      <family val="2"/>
    </font>
    <font>
      <b/>
      <sz val="10"/>
      <name val="Arial"/>
      <family val="2"/>
    </font>
  </fonts>
  <fills count="3">
    <fill>
      <patternFill patternType="none"/>
    </fill>
    <fill>
      <patternFill patternType="gray125"/>
    </fill>
    <fill>
      <patternFill patternType="solid">
        <fgColor indexed="22"/>
        <bgColor indexed="64"/>
      </patternFill>
    </fill>
  </fills>
  <borders count="12">
    <border>
      <left/>
      <right/>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theme="0" tint="-0.499984740745262"/>
      </right>
      <top style="thin">
        <color theme="0" tint="-0.499984740745262"/>
      </top>
      <bottom style="thin">
        <color theme="0" tint="-0.499984740745262"/>
      </bottom>
      <diagonal/>
    </border>
    <border>
      <left style="thin">
        <color indexed="23"/>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2">
    <xf numFmtId="0" fontId="0" fillId="0" borderId="0"/>
    <xf numFmtId="0" fontId="14" fillId="0" borderId="0" applyNumberFormat="0" applyFill="0" applyBorder="0" applyAlignment="0" applyProtection="0">
      <alignment vertical="top"/>
      <protection locked="0"/>
    </xf>
  </cellStyleXfs>
  <cellXfs count="94">
    <xf numFmtId="0" fontId="0" fillId="0" borderId="0" xfId="0"/>
    <xf numFmtId="49" fontId="5" fillId="2" borderId="2"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0" fontId="6" fillId="2" borderId="6" xfId="0" applyFont="1" applyFill="1" applyBorder="1" applyAlignment="1">
      <alignment vertical="center"/>
    </xf>
    <xf numFmtId="3" fontId="6" fillId="0" borderId="6" xfId="0" applyNumberFormat="1" applyFont="1" applyBorder="1" applyAlignment="1">
      <alignment horizontal="center" vertical="center"/>
    </xf>
    <xf numFmtId="3" fontId="5" fillId="2" borderId="7" xfId="0" applyNumberFormat="1" applyFont="1" applyFill="1" applyBorder="1" applyAlignment="1">
      <alignment horizontal="center" vertical="center"/>
    </xf>
    <xf numFmtId="164" fontId="5" fillId="2" borderId="7" xfId="0" applyNumberFormat="1" applyFont="1" applyFill="1" applyBorder="1" applyAlignment="1">
      <alignment horizontal="center" vertical="center"/>
    </xf>
    <xf numFmtId="0" fontId="5" fillId="2" borderId="6" xfId="0" applyFont="1" applyFill="1" applyBorder="1" applyAlignment="1">
      <alignment vertical="center"/>
    </xf>
    <xf numFmtId="3" fontId="5" fillId="2" borderId="6" xfId="0" applyNumberFormat="1" applyFont="1" applyFill="1" applyBorder="1" applyAlignment="1">
      <alignment horizontal="center" vertical="center"/>
    </xf>
    <xf numFmtId="165" fontId="5" fillId="2" borderId="6" xfId="0" applyNumberFormat="1" applyFont="1" applyFill="1" applyBorder="1" applyAlignment="1">
      <alignment horizontal="center" vertical="center"/>
    </xf>
    <xf numFmtId="0" fontId="4" fillId="0" borderId="0" xfId="0" applyFont="1"/>
    <xf numFmtId="165" fontId="6" fillId="0" borderId="6" xfId="0" applyNumberFormat="1" applyFont="1" applyBorder="1" applyAlignment="1">
      <alignment horizontal="center" vertical="center"/>
    </xf>
    <xf numFmtId="165" fontId="6" fillId="0" borderId="6" xfId="0" applyNumberFormat="1" applyFont="1" applyFill="1" applyBorder="1" applyAlignment="1">
      <alignment horizontal="center" vertical="center"/>
    </xf>
    <xf numFmtId="49" fontId="5" fillId="2" borderId="1" xfId="0" applyNumberFormat="1" applyFont="1" applyFill="1" applyBorder="1" applyAlignment="1">
      <alignment horizontal="left"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0" xfId="0" applyFont="1"/>
    <xf numFmtId="49" fontId="5" fillId="2" borderId="7" xfId="0" applyNumberFormat="1" applyFont="1" applyFill="1" applyBorder="1" applyAlignment="1">
      <alignment horizontal="left" vertical="center" wrapText="1"/>
    </xf>
    <xf numFmtId="0" fontId="5" fillId="2" borderId="5" xfId="0" applyFont="1" applyFill="1" applyBorder="1" applyAlignment="1">
      <alignment horizontal="center" vertical="center" wrapText="1"/>
    </xf>
    <xf numFmtId="0" fontId="9" fillId="0" borderId="0" xfId="0" applyFont="1" applyAlignment="1"/>
    <xf numFmtId="0" fontId="14" fillId="0" borderId="0" xfId="1" applyAlignment="1" applyProtection="1"/>
    <xf numFmtId="0" fontId="15" fillId="0" borderId="0" xfId="0" applyFont="1" applyAlignment="1">
      <alignment horizontal="justify"/>
    </xf>
    <xf numFmtId="0" fontId="14" fillId="0" borderId="0" xfId="1" applyAlignment="1" applyProtection="1">
      <alignment horizontal="left"/>
    </xf>
    <xf numFmtId="0" fontId="7" fillId="0" borderId="0" xfId="0" applyFont="1" applyFill="1"/>
    <xf numFmtId="0" fontId="0" fillId="0" borderId="0" xfId="0" applyFill="1"/>
    <xf numFmtId="0" fontId="7" fillId="0" borderId="0" xfId="0" applyFont="1" applyFill="1" applyAlignment="1">
      <alignment horizontal="left" indent="5"/>
    </xf>
    <xf numFmtId="0" fontId="7" fillId="0" borderId="0" xfId="0" applyFont="1" applyFill="1" applyAlignment="1"/>
    <xf numFmtId="0" fontId="0" fillId="0" borderId="0" xfId="0" applyFill="1" applyAlignment="1"/>
    <xf numFmtId="0" fontId="9" fillId="0" borderId="0" xfId="0" applyFont="1" applyFill="1" applyAlignment="1">
      <alignment horizontal="left" indent="10"/>
    </xf>
    <xf numFmtId="0" fontId="8" fillId="0" borderId="0" xfId="0" applyFont="1" applyFill="1" applyAlignment="1">
      <alignment horizontal="left" indent="5"/>
    </xf>
    <xf numFmtId="49" fontId="5" fillId="2" borderId="1"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3" fontId="6" fillId="0" borderId="9" xfId="0" applyNumberFormat="1" applyFont="1" applyBorder="1" applyAlignment="1">
      <alignment horizontal="center" vertical="center"/>
    </xf>
    <xf numFmtId="3" fontId="5" fillId="2" borderId="9" xfId="0" applyNumberFormat="1" applyFont="1" applyFill="1" applyBorder="1" applyAlignment="1">
      <alignment horizontal="center" vertical="center"/>
    </xf>
    <xf numFmtId="0" fontId="16" fillId="0" borderId="0" xfId="0" applyFont="1"/>
    <xf numFmtId="0" fontId="17" fillId="0" borderId="0" xfId="0" applyFont="1" applyFill="1"/>
    <xf numFmtId="49" fontId="5" fillId="2" borderId="1"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18" fillId="0" borderId="0" xfId="0" applyFont="1" applyAlignment="1">
      <alignment vertical="center"/>
    </xf>
    <xf numFmtId="0" fontId="0" fillId="0" borderId="0" xfId="0" applyAlignment="1">
      <alignment vertical="center"/>
    </xf>
    <xf numFmtId="0" fontId="19" fillId="0" borderId="0" xfId="0" applyFont="1"/>
    <xf numFmtId="0" fontId="17" fillId="0" borderId="0" xfId="0" applyFont="1"/>
    <xf numFmtId="0" fontId="7" fillId="0" borderId="0" xfId="0" applyFont="1" applyAlignment="1"/>
    <xf numFmtId="49" fontId="5" fillId="2" borderId="1"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0" fontId="14" fillId="0" borderId="0" xfId="1" applyAlignment="1" applyProtection="1">
      <alignment horizontal="left"/>
    </xf>
    <xf numFmtId="49" fontId="5" fillId="2" borderId="6" xfId="0" applyNumberFormat="1" applyFont="1" applyFill="1" applyBorder="1" applyAlignment="1">
      <alignment horizontal="center" vertical="center" wrapText="1"/>
    </xf>
    <xf numFmtId="0" fontId="6" fillId="0" borderId="0" xfId="0" applyFont="1" applyFill="1" applyBorder="1" applyAlignment="1">
      <alignment vertical="center"/>
    </xf>
    <xf numFmtId="3" fontId="6"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7" fillId="0" borderId="0" xfId="0" applyFont="1" applyFill="1" applyAlignment="1">
      <alignment vertical="justify"/>
    </xf>
    <xf numFmtId="0" fontId="3" fillId="0" borderId="0" xfId="0" applyFont="1" applyAlignment="1"/>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vertical="justify" wrapText="1"/>
    </xf>
    <xf numFmtId="0" fontId="23" fillId="0" borderId="0" xfId="0" applyFont="1" applyAlignment="1">
      <alignment horizontal="left" vertical="top" wrapText="1"/>
    </xf>
    <xf numFmtId="0" fontId="22" fillId="0" borderId="0" xfId="0" applyFont="1" applyAlignment="1">
      <alignment horizontal="left" vertical="top" wrapText="1"/>
    </xf>
    <xf numFmtId="15" fontId="22" fillId="0" borderId="0" xfId="0" quotePrefix="1" applyNumberFormat="1" applyFont="1" applyAlignment="1">
      <alignment horizontal="left" vertical="top" wrapText="1"/>
    </xf>
    <xf numFmtId="0" fontId="2" fillId="0" borderId="0" xfId="0" applyFont="1" applyAlignment="1"/>
    <xf numFmtId="0" fontId="11" fillId="0" borderId="0" xfId="0" applyFont="1" applyAlignment="1">
      <alignment horizontal="left" vertical="justify"/>
    </xf>
    <xf numFmtId="0" fontId="13" fillId="0" borderId="0" xfId="0" applyFont="1" applyAlignment="1">
      <alignment horizontal="left"/>
    </xf>
    <xf numFmtId="0" fontId="14" fillId="0" borderId="0" xfId="1" applyAlignment="1" applyProtection="1">
      <alignment horizontal="left"/>
    </xf>
    <xf numFmtId="0" fontId="12" fillId="0" borderId="0" xfId="0" applyFont="1" applyAlignment="1">
      <alignment horizontal="left"/>
    </xf>
    <xf numFmtId="0" fontId="8" fillId="0" borderId="0" xfId="0" applyFont="1" applyFill="1" applyAlignment="1">
      <alignment horizontal="left" vertical="justify"/>
    </xf>
    <xf numFmtId="0" fontId="9" fillId="0" borderId="0" xfId="0" applyFont="1" applyAlignment="1">
      <alignment horizontal="left"/>
    </xf>
    <xf numFmtId="0" fontId="7" fillId="0" borderId="0" xfId="0" applyFont="1" applyAlignment="1">
      <alignment horizontal="left" vertical="distributed"/>
    </xf>
    <xf numFmtId="0" fontId="16" fillId="0" borderId="0" xfId="0" applyFont="1" applyAlignment="1">
      <alignment horizontal="left" vertical="distributed"/>
    </xf>
    <xf numFmtId="0" fontId="2" fillId="0" borderId="0" xfId="0" applyFont="1" applyAlignment="1">
      <alignment horizontal="left" vertical="distributed"/>
    </xf>
    <xf numFmtId="49" fontId="5" fillId="2" borderId="1"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2" fillId="0" borderId="0" xfId="0" applyFont="1" applyFill="1" applyAlignment="1">
      <alignment horizontal="left" vertical="justify"/>
    </xf>
    <xf numFmtId="0" fontId="7" fillId="0" borderId="0" xfId="0" applyFont="1" applyFill="1" applyAlignment="1">
      <alignment horizontal="left" vertical="justify"/>
    </xf>
    <xf numFmtId="0" fontId="3" fillId="0" borderId="0" xfId="0" applyFont="1" applyFill="1" applyAlignment="1">
      <alignment horizontal="left" vertical="justify"/>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8" fillId="0" borderId="0" xfId="0" applyFont="1" applyAlignment="1">
      <alignment horizontal="left" vertical="center" wrapText="1"/>
    </xf>
    <xf numFmtId="0" fontId="7" fillId="0" borderId="0" xfId="0" applyFont="1" applyAlignment="1">
      <alignment horizontal="left" vertical="justify"/>
    </xf>
    <xf numFmtId="0" fontId="2" fillId="0" borderId="0" xfId="0" applyFont="1" applyAlignment="1">
      <alignment horizontal="left" vertical="justify"/>
    </xf>
    <xf numFmtId="0" fontId="2" fillId="0" borderId="0" xfId="0" applyFont="1" applyAlignment="1">
      <alignment horizontal="left" vertical="justify" wrapText="1"/>
    </xf>
    <xf numFmtId="0" fontId="2" fillId="0" borderId="0" xfId="0" applyFont="1" applyAlignment="1">
      <alignment horizontal="left" vertical="distributed" wrapText="1"/>
    </xf>
    <xf numFmtId="0" fontId="12" fillId="0" borderId="0" xfId="0" applyFont="1" applyAlignment="1">
      <alignment horizontal="center"/>
    </xf>
    <xf numFmtId="0" fontId="1" fillId="0" borderId="0" xfId="0" applyFont="1" applyFill="1" applyAlignment="1">
      <alignment horizontal="left" vertical="justify"/>
    </xf>
    <xf numFmtId="0" fontId="1" fillId="0" borderId="0" xfId="0" applyFont="1" applyFill="1" applyAlignment="1">
      <alignment horizontal="left" vertical="justify" wrapText="1"/>
    </xf>
    <xf numFmtId="0" fontId="1" fillId="0" borderId="0" xfId="0" applyFont="1" applyAlignment="1">
      <alignment horizontal="left" vertical="distributed"/>
    </xf>
    <xf numFmtId="0" fontId="1" fillId="0" borderId="0" xfId="0" applyFont="1" applyAlignment="1">
      <alignment horizontal="left" vertical="justify"/>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4"/>
  <c:chart>
    <c:plotArea>
      <c:layout>
        <c:manualLayout>
          <c:layoutTarget val="inner"/>
          <c:xMode val="edge"/>
          <c:yMode val="edge"/>
          <c:x val="7.6434767122407821E-2"/>
          <c:y val="3.4426417628029088E-2"/>
          <c:w val="0.90617921925499079"/>
          <c:h val="0.70515461148751812"/>
        </c:manualLayout>
      </c:layout>
      <c:lineChart>
        <c:grouping val="standard"/>
        <c:ser>
          <c:idx val="0"/>
          <c:order val="0"/>
          <c:cat>
            <c:strRef>
              <c:f>[1]Overview!$B$3:$B$49</c:f>
              <c:strCache>
                <c:ptCount val="47"/>
                <c:pt idx="0">
                  <c:v>31st March 2002</c:v>
                </c:pt>
                <c:pt idx="4">
                  <c:v>31st March 2003</c:v>
                </c:pt>
                <c:pt idx="8">
                  <c:v>31st March 2004</c:v>
                </c:pt>
                <c:pt idx="12">
                  <c:v>31st March 2005</c:v>
                </c:pt>
                <c:pt idx="16">
                  <c:v>31st March 2006</c:v>
                </c:pt>
                <c:pt idx="20">
                  <c:v>31st March 2007</c:v>
                </c:pt>
                <c:pt idx="24">
                  <c:v>31st March 2008</c:v>
                </c:pt>
                <c:pt idx="28">
                  <c:v>31st March 2009</c:v>
                </c:pt>
                <c:pt idx="32">
                  <c:v>31st March 2010</c:v>
                </c:pt>
                <c:pt idx="33">
                  <c:v>30th June 2010</c:v>
                </c:pt>
                <c:pt idx="34">
                  <c:v>30th September 2010</c:v>
                </c:pt>
                <c:pt idx="35">
                  <c:v>31st December 2010</c:v>
                </c:pt>
                <c:pt idx="36">
                  <c:v>31st March 2011</c:v>
                </c:pt>
                <c:pt idx="37">
                  <c:v>30th June 2011</c:v>
                </c:pt>
                <c:pt idx="38">
                  <c:v>30th September 2011</c:v>
                </c:pt>
                <c:pt idx="39">
                  <c:v>31st December 2011</c:v>
                </c:pt>
                <c:pt idx="40">
                  <c:v>31st March 2012</c:v>
                </c:pt>
                <c:pt idx="41">
                  <c:v>30th June 2012</c:v>
                </c:pt>
                <c:pt idx="42">
                  <c:v>30th September 2012</c:v>
                </c:pt>
                <c:pt idx="43">
                  <c:v>31st December 2012</c:v>
                </c:pt>
                <c:pt idx="44">
                  <c:v>31st March 2013</c:v>
                </c:pt>
                <c:pt idx="45">
                  <c:v>30th June 2013</c:v>
                </c:pt>
                <c:pt idx="46">
                  <c:v>30th September 2013</c:v>
                </c:pt>
              </c:strCache>
            </c:strRef>
          </c:cat>
          <c:val>
            <c:numRef>
              <c:f>[1]Overview!$C$3:$C$49</c:f>
              <c:numCache>
                <c:formatCode>General</c:formatCode>
                <c:ptCount val="47"/>
                <c:pt idx="0">
                  <c:v>1531</c:v>
                </c:pt>
                <c:pt idx="4">
                  <c:v>1608</c:v>
                </c:pt>
                <c:pt idx="8">
                  <c:v>1417</c:v>
                </c:pt>
                <c:pt idx="12">
                  <c:v>1593</c:v>
                </c:pt>
                <c:pt idx="16">
                  <c:v>1639</c:v>
                </c:pt>
                <c:pt idx="20">
                  <c:v>1805</c:v>
                </c:pt>
                <c:pt idx="24">
                  <c:v>2071</c:v>
                </c:pt>
                <c:pt idx="28">
                  <c:v>2488</c:v>
                </c:pt>
                <c:pt idx="32">
                  <c:v>2357</c:v>
                </c:pt>
                <c:pt idx="33">
                  <c:v>2427</c:v>
                </c:pt>
                <c:pt idx="34">
                  <c:v>2533</c:v>
                </c:pt>
                <c:pt idx="35">
                  <c:v>2378</c:v>
                </c:pt>
                <c:pt idx="36">
                  <c:v>2401</c:v>
                </c:pt>
                <c:pt idx="37">
                  <c:v>2215</c:v>
                </c:pt>
                <c:pt idx="38">
                  <c:v>2220</c:v>
                </c:pt>
                <c:pt idx="39">
                  <c:v>2173</c:v>
                </c:pt>
                <c:pt idx="40">
                  <c:v>2127</c:v>
                </c:pt>
                <c:pt idx="41">
                  <c:v>1985</c:v>
                </c:pt>
                <c:pt idx="42">
                  <c:v>2040</c:v>
                </c:pt>
                <c:pt idx="43">
                  <c:v>2009</c:v>
                </c:pt>
                <c:pt idx="44">
                  <c:v>1961</c:v>
                </c:pt>
                <c:pt idx="45">
                  <c:v>1790</c:v>
                </c:pt>
                <c:pt idx="46">
                  <c:v>1934</c:v>
                </c:pt>
              </c:numCache>
            </c:numRef>
          </c:val>
          <c:smooth val="1"/>
        </c:ser>
        <c:marker val="1"/>
        <c:axId val="80927744"/>
        <c:axId val="81382784"/>
      </c:lineChart>
      <c:dateAx>
        <c:axId val="80927744"/>
        <c:scaling>
          <c:orientation val="minMax"/>
        </c:scaling>
        <c:axPos val="b"/>
        <c:numFmt formatCode="dd/mm/yyyy" sourceLinked="0"/>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81382784"/>
        <c:crosses val="autoZero"/>
        <c:lblOffset val="100"/>
        <c:baseTimeUnit val="days"/>
      </c:dateAx>
      <c:valAx>
        <c:axId val="81382784"/>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927744"/>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7397207217229711E-2"/>
          <c:y val="4.3796921834474915E-2"/>
          <c:w val="0.89292723025006493"/>
          <c:h val="0.5502840547298451"/>
        </c:manualLayout>
      </c:layout>
      <c:lineChart>
        <c:grouping val="standard"/>
        <c:ser>
          <c:idx val="0"/>
          <c:order val="0"/>
          <c:tx>
            <c:strRef>
              <c:f>'[1]SEHSCT - CPR'!$C$3</c:f>
              <c:strCache>
                <c:ptCount val="1"/>
                <c:pt idx="0">
                  <c:v>Number of Children On Child Protection Register</c:v>
                </c:pt>
              </c:strCache>
            </c:strRef>
          </c:tx>
          <c:cat>
            <c:strRef>
              <c:f>'[1]SEHSCT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'[1]SEHSCT - CPR'!$C$4:$C$18</c:f>
              <c:numCache>
                <c:formatCode>General</c:formatCode>
                <c:ptCount val="15"/>
                <c:pt idx="0">
                  <c:v>709</c:v>
                </c:pt>
                <c:pt idx="1">
                  <c:v>757</c:v>
                </c:pt>
                <c:pt idx="2">
                  <c:v>758</c:v>
                </c:pt>
                <c:pt idx="3">
                  <c:v>677</c:v>
                </c:pt>
                <c:pt idx="4">
                  <c:v>686</c:v>
                </c:pt>
                <c:pt idx="5">
                  <c:v>620</c:v>
                </c:pt>
                <c:pt idx="6">
                  <c:v>590</c:v>
                </c:pt>
                <c:pt idx="7">
                  <c:v>567</c:v>
                </c:pt>
                <c:pt idx="8">
                  <c:v>529</c:v>
                </c:pt>
                <c:pt idx="9">
                  <c:v>462</c:v>
                </c:pt>
                <c:pt idx="10">
                  <c:v>466</c:v>
                </c:pt>
                <c:pt idx="11">
                  <c:v>401</c:v>
                </c:pt>
                <c:pt idx="12">
                  <c:v>402</c:v>
                </c:pt>
                <c:pt idx="13">
                  <c:v>359</c:v>
                </c:pt>
                <c:pt idx="14">
                  <c:v>399</c:v>
                </c:pt>
              </c:numCache>
            </c:numRef>
          </c:val>
        </c:ser>
        <c:ser>
          <c:idx val="1"/>
          <c:order val="1"/>
          <c:tx>
            <c:strRef>
              <c:f>'[1]SEHSCT - CPR'!$D$3</c:f>
              <c:strCache>
                <c:ptCount val="1"/>
                <c:pt idx="0">
                  <c:v>Child Protection Referrals per Quarter</c:v>
                </c:pt>
              </c:strCache>
            </c:strRef>
          </c:tx>
          <c:spPr>
            <a:ln>
              <a:solidFill>
                <a:srgbClr val="00B0F0"/>
              </a:solidFill>
            </a:ln>
          </c:spPr>
          <c:marker>
            <c:spPr>
              <a:solidFill>
                <a:srgbClr val="00B0F0"/>
              </a:solidFill>
              <a:ln>
                <a:solidFill>
                  <a:srgbClr val="00B0F0"/>
                </a:solidFill>
              </a:ln>
            </c:spPr>
          </c:marker>
          <c:cat>
            <c:strRef>
              <c:f>'[1]SEHSCT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'[1]SEHSCT - CPR'!$D$4:$D$18</c:f>
              <c:numCache>
                <c:formatCode>General</c:formatCode>
                <c:ptCount val="15"/>
                <c:pt idx="0">
                  <c:v>416</c:v>
                </c:pt>
                <c:pt idx="1">
                  <c:v>507</c:v>
                </c:pt>
                <c:pt idx="2">
                  <c:v>418</c:v>
                </c:pt>
                <c:pt idx="3">
                  <c:v>309</c:v>
                </c:pt>
                <c:pt idx="4">
                  <c:v>447</c:v>
                </c:pt>
                <c:pt idx="5">
                  <c:v>432</c:v>
                </c:pt>
                <c:pt idx="6">
                  <c:v>370</c:v>
                </c:pt>
                <c:pt idx="7">
                  <c:v>354</c:v>
                </c:pt>
                <c:pt idx="8">
                  <c:v>314</c:v>
                </c:pt>
                <c:pt idx="9">
                  <c:v>284</c:v>
                </c:pt>
                <c:pt idx="10">
                  <c:v>294</c:v>
                </c:pt>
                <c:pt idx="11">
                  <c:v>279</c:v>
                </c:pt>
                <c:pt idx="12">
                  <c:v>305</c:v>
                </c:pt>
                <c:pt idx="13">
                  <c:v>300</c:v>
                </c:pt>
                <c:pt idx="14">
                  <c:v>295</c:v>
                </c:pt>
              </c:numCache>
            </c:numRef>
          </c:val>
        </c:ser>
        <c:marker val="1"/>
        <c:axId val="201337088"/>
        <c:axId val="201343360"/>
      </c:lineChart>
      <c:catAx>
        <c:axId val="201337088"/>
        <c:scaling>
          <c:orientation val="minMax"/>
        </c:scaling>
        <c:axPos val="b"/>
        <c:numFmt formatCode="@" sourceLinked="1"/>
        <c:tickLblPos val="nextTo"/>
        <c:txPr>
          <a:bodyPr rot="-2700000" vert="horz"/>
          <a:lstStyle/>
          <a:p>
            <a:pPr>
              <a:defRPr sz="900" b="0" i="0" u="none" strike="noStrike" baseline="0">
                <a:solidFill>
                  <a:srgbClr val="000000"/>
                </a:solidFill>
                <a:latin typeface="Calibri"/>
                <a:ea typeface="Calibri"/>
                <a:cs typeface="Calibri"/>
              </a:defRPr>
            </a:pPr>
            <a:endParaRPr lang="en-US"/>
          </a:p>
        </c:txPr>
        <c:crossAx val="201343360"/>
        <c:crosses val="autoZero"/>
        <c:auto val="1"/>
        <c:lblAlgn val="ctr"/>
        <c:lblOffset val="100"/>
      </c:catAx>
      <c:valAx>
        <c:axId val="201343360"/>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1337088"/>
        <c:crosses val="autoZero"/>
        <c:crossBetween val="between"/>
      </c:valAx>
    </c:plotArea>
    <c:legend>
      <c:legendPos val="r"/>
      <c:layout>
        <c:manualLayout>
          <c:xMode val="edge"/>
          <c:yMode val="edge"/>
          <c:x val="0"/>
          <c:y val="0.84235971982792057"/>
          <c:w val="0.94239798050721357"/>
          <c:h val="0.14762770038360573"/>
        </c:manualLayout>
      </c:layout>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0778440830489414E-2"/>
          <c:y val="4.3667727374786122E-2"/>
          <c:w val="0.89868926445169961"/>
          <c:h val="0.53047201347388606"/>
        </c:manualLayout>
      </c:layout>
      <c:lineChart>
        <c:grouping val="standard"/>
        <c:ser>
          <c:idx val="0"/>
          <c:order val="0"/>
          <c:tx>
            <c:strRef>
              <c:f>'[2]SHSCT - CPR'!$C$3</c:f>
              <c:strCache>
                <c:ptCount val="1"/>
                <c:pt idx="0">
                  <c:v>Number of Children On Child Protection Register</c:v>
                </c:pt>
              </c:strCache>
            </c:strRef>
          </c:tx>
          <c:cat>
            <c:strRef>
              <c:f>'[2]SHSCT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'[2]SHSCT - CPR'!$C$4:$C$18</c:f>
              <c:numCache>
                <c:formatCode>General</c:formatCode>
                <c:ptCount val="15"/>
                <c:pt idx="0">
                  <c:v>461</c:v>
                </c:pt>
                <c:pt idx="1">
                  <c:v>460</c:v>
                </c:pt>
                <c:pt idx="2">
                  <c:v>498</c:v>
                </c:pt>
                <c:pt idx="3">
                  <c:v>518</c:v>
                </c:pt>
                <c:pt idx="4">
                  <c:v>473</c:v>
                </c:pt>
                <c:pt idx="5">
                  <c:v>413</c:v>
                </c:pt>
                <c:pt idx="6">
                  <c:v>391</c:v>
                </c:pt>
                <c:pt idx="7">
                  <c:v>384</c:v>
                </c:pt>
                <c:pt idx="8">
                  <c:v>363</c:v>
                </c:pt>
                <c:pt idx="9">
                  <c:v>341</c:v>
                </c:pt>
                <c:pt idx="10">
                  <c:v>338</c:v>
                </c:pt>
                <c:pt idx="11">
                  <c:v>303</c:v>
                </c:pt>
                <c:pt idx="12">
                  <c:v>313</c:v>
                </c:pt>
                <c:pt idx="13">
                  <c:v>316</c:v>
                </c:pt>
                <c:pt idx="14">
                  <c:v>369</c:v>
                </c:pt>
              </c:numCache>
            </c:numRef>
          </c:val>
        </c:ser>
        <c:ser>
          <c:idx val="1"/>
          <c:order val="1"/>
          <c:tx>
            <c:strRef>
              <c:f>'[2]SHSCT - CPR'!$D$3</c:f>
              <c:strCache>
                <c:ptCount val="1"/>
                <c:pt idx="0">
                  <c:v>Child Protection Referrals per Quarter</c:v>
                </c:pt>
              </c:strCache>
            </c:strRef>
          </c:tx>
          <c:spPr>
            <a:ln>
              <a:solidFill>
                <a:srgbClr val="00B0F0"/>
              </a:solidFill>
            </a:ln>
          </c:spPr>
          <c:marker>
            <c:spPr>
              <a:solidFill>
                <a:srgbClr val="00B0F0"/>
              </a:solidFill>
              <a:ln>
                <a:solidFill>
                  <a:srgbClr val="00B0F0"/>
                </a:solidFill>
              </a:ln>
            </c:spPr>
          </c:marker>
          <c:cat>
            <c:strRef>
              <c:f>'[2]SHSCT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'[2]SHSCT - CPR'!$D$4:$D$18</c:f>
              <c:numCache>
                <c:formatCode>General</c:formatCode>
                <c:ptCount val="15"/>
                <c:pt idx="0">
                  <c:v>278</c:v>
                </c:pt>
                <c:pt idx="1">
                  <c:v>318</c:v>
                </c:pt>
                <c:pt idx="2">
                  <c:v>340</c:v>
                </c:pt>
                <c:pt idx="3">
                  <c:v>366</c:v>
                </c:pt>
                <c:pt idx="4">
                  <c:v>347</c:v>
                </c:pt>
                <c:pt idx="5">
                  <c:v>310</c:v>
                </c:pt>
                <c:pt idx="6">
                  <c:v>293</c:v>
                </c:pt>
                <c:pt idx="7">
                  <c:v>250</c:v>
                </c:pt>
                <c:pt idx="8">
                  <c:v>325</c:v>
                </c:pt>
                <c:pt idx="9">
                  <c:v>296</c:v>
                </c:pt>
                <c:pt idx="10">
                  <c:v>272</c:v>
                </c:pt>
                <c:pt idx="11">
                  <c:v>314</c:v>
                </c:pt>
                <c:pt idx="12">
                  <c:v>332</c:v>
                </c:pt>
                <c:pt idx="13">
                  <c:v>352</c:v>
                </c:pt>
                <c:pt idx="14">
                  <c:v>250</c:v>
                </c:pt>
              </c:numCache>
            </c:numRef>
          </c:val>
        </c:ser>
        <c:marker val="1"/>
        <c:axId val="202177920"/>
        <c:axId val="204436224"/>
      </c:lineChart>
      <c:catAx>
        <c:axId val="202177920"/>
        <c:scaling>
          <c:orientation val="minMax"/>
        </c:scaling>
        <c:axPos val="b"/>
        <c:numFmt formatCode="@" sourceLinked="1"/>
        <c:tickLblPos val="nextTo"/>
        <c:txPr>
          <a:bodyPr rot="-2700000" vert="horz"/>
          <a:lstStyle/>
          <a:p>
            <a:pPr>
              <a:defRPr sz="900" b="0" i="0" u="none" strike="noStrike" baseline="0">
                <a:solidFill>
                  <a:srgbClr val="000000"/>
                </a:solidFill>
                <a:latin typeface="Calibri"/>
                <a:ea typeface="Calibri"/>
                <a:cs typeface="Calibri"/>
              </a:defRPr>
            </a:pPr>
            <a:endParaRPr lang="en-US"/>
          </a:p>
        </c:txPr>
        <c:crossAx val="204436224"/>
        <c:crosses val="autoZero"/>
        <c:auto val="1"/>
        <c:lblAlgn val="ctr"/>
        <c:lblOffset val="100"/>
      </c:catAx>
      <c:valAx>
        <c:axId val="204436224"/>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177920"/>
        <c:crosses val="autoZero"/>
        <c:crossBetween val="between"/>
        <c:majorUnit val="100"/>
      </c:valAx>
    </c:plotArea>
    <c:legend>
      <c:legendPos val="r"/>
      <c:layout>
        <c:manualLayout>
          <c:xMode val="edge"/>
          <c:yMode val="edge"/>
          <c:x val="6.0975609756097563E-3"/>
          <c:y val="0.8641155197619842"/>
          <c:w val="0.93089430894308967"/>
          <c:h val="0.1173934528542239"/>
        </c:manualLayout>
      </c:layout>
      <c:txPr>
        <a:bodyPr/>
        <a:lstStyle/>
        <a:p>
          <a:pPr>
            <a:defRPr sz="755"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2702621509660693E-2"/>
          <c:y val="4.3796921834474915E-2"/>
          <c:w val="0.8630503114821495"/>
          <c:h val="0.53844973520321804"/>
        </c:manualLayout>
      </c:layout>
      <c:lineChart>
        <c:grouping val="standard"/>
        <c:ser>
          <c:idx val="0"/>
          <c:order val="0"/>
          <c:tx>
            <c:strRef>
              <c:f>'[1]WHSCT - CPR'!$C$3</c:f>
              <c:strCache>
                <c:ptCount val="1"/>
                <c:pt idx="0">
                  <c:v>Number of Children On Child Protection Register</c:v>
                </c:pt>
              </c:strCache>
            </c:strRef>
          </c:tx>
          <c:cat>
            <c:strRef>
              <c:f>'[1]WHSCT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'[1]WHSCT - CPR'!$C$4:$C$18</c:f>
              <c:numCache>
                <c:formatCode>General</c:formatCode>
                <c:ptCount val="15"/>
                <c:pt idx="0">
                  <c:v>229</c:v>
                </c:pt>
                <c:pt idx="1">
                  <c:v>209</c:v>
                </c:pt>
                <c:pt idx="2">
                  <c:v>218</c:v>
                </c:pt>
                <c:pt idx="3">
                  <c:v>212</c:v>
                </c:pt>
                <c:pt idx="4">
                  <c:v>235</c:v>
                </c:pt>
                <c:pt idx="5">
                  <c:v>230</c:v>
                </c:pt>
                <c:pt idx="6">
                  <c:v>297</c:v>
                </c:pt>
                <c:pt idx="7">
                  <c:v>287</c:v>
                </c:pt>
                <c:pt idx="8">
                  <c:v>303</c:v>
                </c:pt>
                <c:pt idx="9">
                  <c:v>261</c:v>
                </c:pt>
                <c:pt idx="10">
                  <c:v>266</c:v>
                </c:pt>
                <c:pt idx="11">
                  <c:v>283</c:v>
                </c:pt>
                <c:pt idx="12">
                  <c:v>297</c:v>
                </c:pt>
                <c:pt idx="13">
                  <c:v>301</c:v>
                </c:pt>
                <c:pt idx="14">
                  <c:v>340</c:v>
                </c:pt>
              </c:numCache>
            </c:numRef>
          </c:val>
        </c:ser>
        <c:ser>
          <c:idx val="1"/>
          <c:order val="1"/>
          <c:tx>
            <c:strRef>
              <c:f>'[1]WHSCT - CPR'!$D$3</c:f>
              <c:strCache>
                <c:ptCount val="1"/>
                <c:pt idx="0">
                  <c:v>Child Protection Referrals per Quarter</c:v>
                </c:pt>
              </c:strCache>
            </c:strRef>
          </c:tx>
          <c:spPr>
            <a:ln>
              <a:solidFill>
                <a:srgbClr val="00B0F0"/>
              </a:solidFill>
            </a:ln>
          </c:spPr>
          <c:marker>
            <c:spPr>
              <a:solidFill>
                <a:srgbClr val="00B0F0"/>
              </a:solidFill>
              <a:ln>
                <a:solidFill>
                  <a:srgbClr val="00B0F0"/>
                </a:solidFill>
              </a:ln>
            </c:spPr>
          </c:marker>
          <c:cat>
            <c:strRef>
              <c:f>'[1]WHSCT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'[1]WHSCT - CPR'!$D$4:$D$18</c:f>
              <c:numCache>
                <c:formatCode>General</c:formatCode>
                <c:ptCount val="15"/>
                <c:pt idx="0">
                  <c:v>82</c:v>
                </c:pt>
                <c:pt idx="1">
                  <c:v>110</c:v>
                </c:pt>
                <c:pt idx="2">
                  <c:v>91</c:v>
                </c:pt>
                <c:pt idx="3">
                  <c:v>152</c:v>
                </c:pt>
                <c:pt idx="4">
                  <c:v>115</c:v>
                </c:pt>
                <c:pt idx="5">
                  <c:v>136</c:v>
                </c:pt>
                <c:pt idx="6">
                  <c:v>138</c:v>
                </c:pt>
                <c:pt idx="7">
                  <c:v>95</c:v>
                </c:pt>
                <c:pt idx="8">
                  <c:v>124</c:v>
                </c:pt>
                <c:pt idx="9">
                  <c:v>94</c:v>
                </c:pt>
                <c:pt idx="10">
                  <c:v>131</c:v>
                </c:pt>
                <c:pt idx="11">
                  <c:v>146</c:v>
                </c:pt>
                <c:pt idx="12">
                  <c:v>153</c:v>
                </c:pt>
                <c:pt idx="13">
                  <c:v>180</c:v>
                </c:pt>
                <c:pt idx="14">
                  <c:v>140</c:v>
                </c:pt>
              </c:numCache>
            </c:numRef>
          </c:val>
        </c:ser>
        <c:marker val="1"/>
        <c:axId val="204978432"/>
        <c:axId val="204984704"/>
      </c:lineChart>
      <c:catAx>
        <c:axId val="204978432"/>
        <c:scaling>
          <c:orientation val="minMax"/>
        </c:scaling>
        <c:axPos val="b"/>
        <c:numFmt formatCode="@" sourceLinked="1"/>
        <c:tickLblPos val="nextTo"/>
        <c:txPr>
          <a:bodyPr rot="-2700000" vert="horz"/>
          <a:lstStyle/>
          <a:p>
            <a:pPr>
              <a:defRPr sz="900" b="0" i="0" u="none" strike="noStrike" baseline="0">
                <a:solidFill>
                  <a:srgbClr val="000000"/>
                </a:solidFill>
                <a:latin typeface="Calibri"/>
                <a:ea typeface="Calibri"/>
                <a:cs typeface="Calibri"/>
              </a:defRPr>
            </a:pPr>
            <a:endParaRPr lang="en-US"/>
          </a:p>
        </c:txPr>
        <c:crossAx val="204984704"/>
        <c:crosses val="autoZero"/>
        <c:auto val="1"/>
        <c:lblAlgn val="ctr"/>
        <c:lblOffset val="100"/>
      </c:catAx>
      <c:valAx>
        <c:axId val="204984704"/>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4978432"/>
        <c:crosses val="autoZero"/>
        <c:crossBetween val="between"/>
        <c:majorUnit val="100"/>
      </c:valAx>
    </c:plotArea>
    <c:legend>
      <c:legendPos val="r"/>
      <c:layout>
        <c:manualLayout>
          <c:xMode val="edge"/>
          <c:yMode val="edge"/>
          <c:x val="8.0020111122473415E-3"/>
          <c:y val="0.84941371973473689"/>
          <c:w val="0.94581330742748071"/>
          <c:h val="0.13746447374551551"/>
        </c:manualLayout>
      </c:layout>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7918576094386927E-2"/>
          <c:y val="4.3667727374786122E-2"/>
          <c:w val="0.88123469293026457"/>
          <c:h val="0.51621273004591173"/>
        </c:manualLayout>
      </c:layout>
      <c:lineChart>
        <c:grouping val="standard"/>
        <c:ser>
          <c:idx val="0"/>
          <c:order val="0"/>
          <c:tx>
            <c:strRef>
              <c:f>'[1]NI - CPR'!$C$3</c:f>
              <c:strCache>
                <c:ptCount val="1"/>
                <c:pt idx="0">
                  <c:v>Number of Children On Child Protection Register</c:v>
                </c:pt>
              </c:strCache>
            </c:strRef>
          </c:tx>
          <c:cat>
            <c:strRef>
              <c:f>'[1]NI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'[1]NI - CPR'!$C$4:$C$18</c:f>
              <c:numCache>
                <c:formatCode>General</c:formatCode>
                <c:ptCount val="15"/>
                <c:pt idx="0">
                  <c:v>2357</c:v>
                </c:pt>
                <c:pt idx="1">
                  <c:v>2427</c:v>
                </c:pt>
                <c:pt idx="2">
                  <c:v>2533</c:v>
                </c:pt>
                <c:pt idx="3">
                  <c:v>2378</c:v>
                </c:pt>
                <c:pt idx="4">
                  <c:v>2401</c:v>
                </c:pt>
                <c:pt idx="5">
                  <c:v>2215</c:v>
                </c:pt>
                <c:pt idx="6">
                  <c:v>2220</c:v>
                </c:pt>
                <c:pt idx="7">
                  <c:v>2173</c:v>
                </c:pt>
                <c:pt idx="8">
                  <c:v>2127</c:v>
                </c:pt>
                <c:pt idx="9">
                  <c:v>1985</c:v>
                </c:pt>
                <c:pt idx="10">
                  <c:v>2040</c:v>
                </c:pt>
                <c:pt idx="11">
                  <c:v>2009</c:v>
                </c:pt>
                <c:pt idx="12">
                  <c:v>1961</c:v>
                </c:pt>
                <c:pt idx="13">
                  <c:v>1790</c:v>
                </c:pt>
                <c:pt idx="14">
                  <c:v>1934</c:v>
                </c:pt>
              </c:numCache>
            </c:numRef>
          </c:val>
        </c:ser>
        <c:ser>
          <c:idx val="1"/>
          <c:order val="1"/>
          <c:tx>
            <c:strRef>
              <c:f>'[1]NI - CPR'!$D$3</c:f>
              <c:strCache>
                <c:ptCount val="1"/>
                <c:pt idx="0">
                  <c:v>Child Protection Referrals per Quarter</c:v>
                </c:pt>
              </c:strCache>
            </c:strRef>
          </c:tx>
          <c:spPr>
            <a:ln>
              <a:solidFill>
                <a:srgbClr val="00B0F0"/>
              </a:solidFill>
            </a:ln>
          </c:spPr>
          <c:marker>
            <c:spPr>
              <a:solidFill>
                <a:srgbClr val="00B0F0"/>
              </a:solidFill>
              <a:ln>
                <a:solidFill>
                  <a:srgbClr val="00B0F0"/>
                </a:solidFill>
              </a:ln>
            </c:spPr>
          </c:marker>
          <c:cat>
            <c:strRef>
              <c:f>'[1]NI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'[1]NI - CPR'!$D$4:$D$18</c:f>
              <c:numCache>
                <c:formatCode>General</c:formatCode>
                <c:ptCount val="15"/>
                <c:pt idx="0">
                  <c:v>1064</c:v>
                </c:pt>
                <c:pt idx="1">
                  <c:v>1211</c:v>
                </c:pt>
                <c:pt idx="2">
                  <c:v>1078</c:v>
                </c:pt>
                <c:pt idx="3">
                  <c:v>1070</c:v>
                </c:pt>
                <c:pt idx="4">
                  <c:v>1271</c:v>
                </c:pt>
                <c:pt idx="5">
                  <c:v>1186</c:v>
                </c:pt>
                <c:pt idx="6">
                  <c:v>1079</c:v>
                </c:pt>
                <c:pt idx="7">
                  <c:v>1030</c:v>
                </c:pt>
                <c:pt idx="8">
                  <c:v>1135</c:v>
                </c:pt>
                <c:pt idx="9">
                  <c:v>1074</c:v>
                </c:pt>
                <c:pt idx="10">
                  <c:v>951</c:v>
                </c:pt>
                <c:pt idx="11">
                  <c:v>1108</c:v>
                </c:pt>
                <c:pt idx="12">
                  <c:v>1049</c:v>
                </c:pt>
                <c:pt idx="13">
                  <c:v>1128</c:v>
                </c:pt>
                <c:pt idx="14">
                  <c:v>937</c:v>
                </c:pt>
              </c:numCache>
            </c:numRef>
          </c:val>
        </c:ser>
        <c:marker val="1"/>
        <c:axId val="205029760"/>
        <c:axId val="205031680"/>
      </c:lineChart>
      <c:catAx>
        <c:axId val="205029760"/>
        <c:scaling>
          <c:orientation val="minMax"/>
        </c:scaling>
        <c:axPos val="b"/>
        <c:numFmt formatCode="@" sourceLinked="1"/>
        <c:tickLblPos val="nextTo"/>
        <c:txPr>
          <a:bodyPr rot="-2700000" vert="horz"/>
          <a:lstStyle/>
          <a:p>
            <a:pPr>
              <a:defRPr sz="900" b="0" i="0" u="none" strike="noStrike" baseline="0">
                <a:solidFill>
                  <a:srgbClr val="000000"/>
                </a:solidFill>
                <a:latin typeface="Calibri"/>
                <a:ea typeface="Calibri"/>
                <a:cs typeface="Calibri"/>
              </a:defRPr>
            </a:pPr>
            <a:endParaRPr lang="en-US"/>
          </a:p>
        </c:txPr>
        <c:crossAx val="205031680"/>
        <c:crosses val="autoZero"/>
        <c:auto val="1"/>
        <c:lblAlgn val="ctr"/>
        <c:lblOffset val="100"/>
      </c:catAx>
      <c:valAx>
        <c:axId val="205031680"/>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5029760"/>
        <c:crosses val="autoZero"/>
        <c:crossBetween val="between"/>
      </c:valAx>
    </c:plotArea>
    <c:legend>
      <c:legendPos val="r"/>
      <c:layout>
        <c:manualLayout>
          <c:xMode val="edge"/>
          <c:yMode val="edge"/>
          <c:x val="2.3579849946409452E-4"/>
          <c:y val="0.81298461586107063"/>
          <c:w val="0.98475884244373035"/>
          <c:h val="0.16852406723495836"/>
        </c:manualLayout>
      </c:layout>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6601760250054209E-2"/>
          <c:y val="4.1582470730484516E-2"/>
          <c:w val="0.9163042226559287"/>
          <c:h val="0.86459111150432089"/>
        </c:manualLayout>
      </c:layout>
      <c:barChart>
        <c:barDir val="col"/>
        <c:grouping val="clustered"/>
        <c:ser>
          <c:idx val="0"/>
          <c:order val="0"/>
          <c:cat>
            <c:strRef>
              <c:f>('[1]NI CPR - EO'!$A$53,'[1]NI CPR - EO'!$A$58,'[1]NI CPR - EO'!$A$59)</c:f>
              <c:strCache>
                <c:ptCount val="3"/>
                <c:pt idx="0">
                  <c:v>White</c:v>
                </c:pt>
                <c:pt idx="1">
                  <c:v>Others</c:v>
                </c:pt>
                <c:pt idx="2">
                  <c:v>Refused/Unknown</c:v>
                </c:pt>
              </c:strCache>
            </c:strRef>
          </c:cat>
          <c:val>
            <c:numRef>
              <c:f>'[1]NI CPR - EO'!$I$53:$I$55</c:f>
              <c:numCache>
                <c:formatCode>General</c:formatCode>
                <c:ptCount val="3"/>
                <c:pt idx="0">
                  <c:v>0.8200620475698035</c:v>
                </c:pt>
                <c:pt idx="1">
                  <c:v>5.6359875904860392E-2</c:v>
                </c:pt>
                <c:pt idx="2">
                  <c:v>0.12357807652533609</c:v>
                </c:pt>
              </c:numCache>
            </c:numRef>
          </c:val>
        </c:ser>
        <c:axId val="205064064"/>
        <c:axId val="205065600"/>
      </c:barChart>
      <c:catAx>
        <c:axId val="20506406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5065600"/>
        <c:crosses val="autoZero"/>
        <c:auto val="1"/>
        <c:lblAlgn val="ctr"/>
        <c:lblOffset val="100"/>
      </c:catAx>
      <c:valAx>
        <c:axId val="205065600"/>
        <c:scaling>
          <c:orientation val="minMax"/>
          <c:max val="1"/>
        </c:scaling>
        <c:axPos val="l"/>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5064064"/>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cat>
            <c:strRef>
              <c:f>'[1]NI CPR - Religion'!$A$53:$A$59</c:f>
              <c:strCache>
                <c:ptCount val="7"/>
                <c:pt idx="0">
                  <c:v>Roman Catholic</c:v>
                </c:pt>
                <c:pt idx="1">
                  <c:v>Presbyterian</c:v>
                </c:pt>
                <c:pt idx="2">
                  <c:v>Church of Ireland</c:v>
                </c:pt>
                <c:pt idx="3">
                  <c:v>Methodist</c:v>
                </c:pt>
                <c:pt idx="4">
                  <c:v>Other Denomination</c:v>
                </c:pt>
                <c:pt idx="5">
                  <c:v>None</c:v>
                </c:pt>
                <c:pt idx="6">
                  <c:v>Refused/Unknown</c:v>
                </c:pt>
              </c:strCache>
            </c:strRef>
          </c:cat>
          <c:val>
            <c:numRef>
              <c:f>'[1]NI CPR - Religion'!$I$53:$I$59</c:f>
              <c:numCache>
                <c:formatCode>General</c:formatCode>
                <c:ptCount val="7"/>
                <c:pt idx="0">
                  <c:v>0.40692864529472594</c:v>
                </c:pt>
                <c:pt idx="1">
                  <c:v>0.10548086866597725</c:v>
                </c:pt>
                <c:pt idx="2">
                  <c:v>8.4798345398138575E-2</c:v>
                </c:pt>
                <c:pt idx="3">
                  <c:v>8.790072388831437E-3</c:v>
                </c:pt>
                <c:pt idx="4">
                  <c:v>0.14270941054808686</c:v>
                </c:pt>
                <c:pt idx="5">
                  <c:v>7.0320579110651496E-2</c:v>
                </c:pt>
                <c:pt idx="6">
                  <c:v>0.18097207859358841</c:v>
                </c:pt>
              </c:numCache>
            </c:numRef>
          </c:val>
        </c:ser>
        <c:axId val="205126656"/>
        <c:axId val="205144832"/>
      </c:barChart>
      <c:catAx>
        <c:axId val="205126656"/>
        <c:scaling>
          <c:orientation val="minMax"/>
        </c:scaling>
        <c:axPos val="b"/>
        <c:numFmt formatCode="General" sourceLinked="1"/>
        <c:tickLblPos val="nextTo"/>
        <c:txPr>
          <a:bodyPr rot="-2700000" vert="horz"/>
          <a:lstStyle/>
          <a:p>
            <a:pPr>
              <a:defRPr sz="900" b="0" i="0" u="none" strike="noStrike" baseline="0">
                <a:solidFill>
                  <a:srgbClr val="000000"/>
                </a:solidFill>
                <a:latin typeface="Calibri"/>
                <a:ea typeface="Calibri"/>
                <a:cs typeface="Calibri"/>
              </a:defRPr>
            </a:pPr>
            <a:endParaRPr lang="en-US"/>
          </a:p>
        </c:txPr>
        <c:crossAx val="205144832"/>
        <c:crosses val="autoZero"/>
        <c:auto val="1"/>
        <c:lblAlgn val="ctr"/>
        <c:lblOffset val="100"/>
      </c:catAx>
      <c:valAx>
        <c:axId val="205144832"/>
        <c:scaling>
          <c:orientation val="minMax"/>
          <c:max val="0.5"/>
        </c:scaling>
        <c:axPos val="l"/>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5126656"/>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4"/>
  <c:chart>
    <c:plotArea>
      <c:layout/>
      <c:lineChart>
        <c:grouping val="standard"/>
        <c:ser>
          <c:idx val="0"/>
          <c:order val="0"/>
          <c:cat>
            <c:strRef>
              <c:f>'[1]Referral Trends'!$B$5:$B$19</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 Trends'!$H$5:$H$19</c:f>
              <c:numCache>
                <c:formatCode>General</c:formatCode>
                <c:ptCount val="15"/>
                <c:pt idx="0">
                  <c:v>1064</c:v>
                </c:pt>
                <c:pt idx="1">
                  <c:v>1211</c:v>
                </c:pt>
                <c:pt idx="2">
                  <c:v>1078</c:v>
                </c:pt>
                <c:pt idx="3">
                  <c:v>1070</c:v>
                </c:pt>
                <c:pt idx="4">
                  <c:v>1271</c:v>
                </c:pt>
                <c:pt idx="5">
                  <c:v>1186</c:v>
                </c:pt>
                <c:pt idx="6">
                  <c:v>1079</c:v>
                </c:pt>
                <c:pt idx="7">
                  <c:v>1030</c:v>
                </c:pt>
                <c:pt idx="8">
                  <c:v>1135</c:v>
                </c:pt>
                <c:pt idx="9">
                  <c:v>1074</c:v>
                </c:pt>
                <c:pt idx="10">
                  <c:v>964</c:v>
                </c:pt>
                <c:pt idx="11">
                  <c:v>1108</c:v>
                </c:pt>
                <c:pt idx="12">
                  <c:v>1049</c:v>
                </c:pt>
                <c:pt idx="13">
                  <c:v>1128</c:v>
                </c:pt>
                <c:pt idx="14">
                  <c:v>937</c:v>
                </c:pt>
              </c:numCache>
            </c:numRef>
          </c:val>
        </c:ser>
        <c:marker val="1"/>
        <c:axId val="82972032"/>
        <c:axId val="83013632"/>
      </c:lineChart>
      <c:catAx>
        <c:axId val="82972032"/>
        <c:scaling>
          <c:orientation val="minMax"/>
        </c:scaling>
        <c:axPos val="b"/>
        <c:numFmt formatCode="@" sourceLinked="1"/>
        <c:tickLblPos val="nextTo"/>
        <c:txPr>
          <a:bodyPr rot="-1500000" vert="horz"/>
          <a:lstStyle/>
          <a:p>
            <a:pPr>
              <a:defRPr sz="1000" b="0" i="0" u="none" strike="noStrike" baseline="0">
                <a:solidFill>
                  <a:srgbClr val="000000"/>
                </a:solidFill>
                <a:latin typeface="Calibri"/>
                <a:ea typeface="Calibri"/>
                <a:cs typeface="Calibri"/>
              </a:defRPr>
            </a:pPr>
            <a:endParaRPr lang="en-US"/>
          </a:p>
        </c:txPr>
        <c:crossAx val="83013632"/>
        <c:crosses val="autoZero"/>
        <c:auto val="1"/>
        <c:lblAlgn val="ctr"/>
        <c:lblOffset val="100"/>
      </c:catAx>
      <c:valAx>
        <c:axId val="83013632"/>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972032"/>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'[1]Age Bar Chart'!$B$5</c:f>
              <c:strCache>
                <c:ptCount val="1"/>
                <c:pt idx="0">
                  <c:v>Belfast HSC Trust</c:v>
                </c:pt>
              </c:strCache>
            </c:strRef>
          </c:tx>
          <c:cat>
            <c:strRef>
              <c:f>'[1]Age Bar Chart'!$C$4:$G$4</c:f>
              <c:strCache>
                <c:ptCount val="5"/>
                <c:pt idx="0">
                  <c:v>Under 1</c:v>
                </c:pt>
                <c:pt idx="1">
                  <c:v>1 - 4</c:v>
                </c:pt>
                <c:pt idx="2">
                  <c:v>5 - 11</c:v>
                </c:pt>
                <c:pt idx="3">
                  <c:v>12 - 15</c:v>
                </c:pt>
                <c:pt idx="4">
                  <c:v>16 &amp; Over</c:v>
                </c:pt>
              </c:strCache>
            </c:strRef>
          </c:cat>
          <c:val>
            <c:numRef>
              <c:f>'[1]Age Bar Chart'!$L$5:$P$5</c:f>
              <c:numCache>
                <c:formatCode>General</c:formatCode>
                <c:ptCount val="5"/>
                <c:pt idx="0">
                  <c:v>0.13436692506459949</c:v>
                </c:pt>
                <c:pt idx="1">
                  <c:v>0.31007751937984496</c:v>
                </c:pt>
                <c:pt idx="2">
                  <c:v>0.34625322997416019</c:v>
                </c:pt>
                <c:pt idx="3">
                  <c:v>0.1834625322997416</c:v>
                </c:pt>
                <c:pt idx="4">
                  <c:v>2.5839793281653745E-2</c:v>
                </c:pt>
              </c:numCache>
            </c:numRef>
          </c:val>
        </c:ser>
        <c:ser>
          <c:idx val="1"/>
          <c:order val="1"/>
          <c:tx>
            <c:strRef>
              <c:f>'[1]Age Bar Chart'!$B$6</c:f>
              <c:strCache>
                <c:ptCount val="1"/>
                <c:pt idx="0">
                  <c:v>Northern HSC Trust</c:v>
                </c:pt>
              </c:strCache>
            </c:strRef>
          </c:tx>
          <c:cat>
            <c:strRef>
              <c:f>'[1]Age Bar Chart'!$C$4:$G$4</c:f>
              <c:strCache>
                <c:ptCount val="5"/>
                <c:pt idx="0">
                  <c:v>Under 1</c:v>
                </c:pt>
                <c:pt idx="1">
                  <c:v>1 - 4</c:v>
                </c:pt>
                <c:pt idx="2">
                  <c:v>5 - 11</c:v>
                </c:pt>
                <c:pt idx="3">
                  <c:v>12 - 15</c:v>
                </c:pt>
                <c:pt idx="4">
                  <c:v>16 &amp; Over</c:v>
                </c:pt>
              </c:strCache>
            </c:strRef>
          </c:cat>
          <c:val>
            <c:numRef>
              <c:f>'[1]Age Bar Chart'!$L$6:$P$6</c:f>
              <c:numCache>
                <c:formatCode>General</c:formatCode>
                <c:ptCount val="5"/>
                <c:pt idx="0">
                  <c:v>8.9041095890410954E-2</c:v>
                </c:pt>
                <c:pt idx="1">
                  <c:v>0.29223744292237441</c:v>
                </c:pt>
                <c:pt idx="2">
                  <c:v>0.3904109589041096</c:v>
                </c:pt>
                <c:pt idx="3">
                  <c:v>0.18721461187214611</c:v>
                </c:pt>
                <c:pt idx="4">
                  <c:v>4.1095890410958902E-2</c:v>
                </c:pt>
              </c:numCache>
            </c:numRef>
          </c:val>
        </c:ser>
        <c:ser>
          <c:idx val="2"/>
          <c:order val="2"/>
          <c:tx>
            <c:strRef>
              <c:f>'[1]Age Bar Chart'!$B$7</c:f>
              <c:strCache>
                <c:ptCount val="1"/>
                <c:pt idx="0">
                  <c:v>South Eastern HSC Trust</c:v>
                </c:pt>
              </c:strCache>
            </c:strRef>
          </c:tx>
          <c:cat>
            <c:strRef>
              <c:f>'[1]Age Bar Chart'!$C$4:$G$4</c:f>
              <c:strCache>
                <c:ptCount val="5"/>
                <c:pt idx="0">
                  <c:v>Under 1</c:v>
                </c:pt>
                <c:pt idx="1">
                  <c:v>1 - 4</c:v>
                </c:pt>
                <c:pt idx="2">
                  <c:v>5 - 11</c:v>
                </c:pt>
                <c:pt idx="3">
                  <c:v>12 - 15</c:v>
                </c:pt>
                <c:pt idx="4">
                  <c:v>16 &amp; Over</c:v>
                </c:pt>
              </c:strCache>
            </c:strRef>
          </c:cat>
          <c:val>
            <c:numRef>
              <c:f>'[1]Age Bar Chart'!$L$7:$P$7</c:f>
              <c:numCache>
                <c:formatCode>General</c:formatCode>
                <c:ptCount val="5"/>
                <c:pt idx="0">
                  <c:v>9.5238095238095233E-2</c:v>
                </c:pt>
                <c:pt idx="1">
                  <c:v>0.3032581453634085</c:v>
                </c:pt>
                <c:pt idx="2">
                  <c:v>0.37593984962406013</c:v>
                </c:pt>
                <c:pt idx="3">
                  <c:v>0.18045112781954886</c:v>
                </c:pt>
                <c:pt idx="4">
                  <c:v>4.5112781954887216E-2</c:v>
                </c:pt>
              </c:numCache>
            </c:numRef>
          </c:val>
        </c:ser>
        <c:ser>
          <c:idx val="3"/>
          <c:order val="3"/>
          <c:tx>
            <c:strRef>
              <c:f>'[1]Age Bar Chart'!$B$8</c:f>
              <c:strCache>
                <c:ptCount val="1"/>
                <c:pt idx="0">
                  <c:v>Southern HSC Trust</c:v>
                </c:pt>
              </c:strCache>
            </c:strRef>
          </c:tx>
          <c:cat>
            <c:strRef>
              <c:f>'[1]Age Bar Chart'!$C$4:$G$4</c:f>
              <c:strCache>
                <c:ptCount val="5"/>
                <c:pt idx="0">
                  <c:v>Under 1</c:v>
                </c:pt>
                <c:pt idx="1">
                  <c:v>1 - 4</c:v>
                </c:pt>
                <c:pt idx="2">
                  <c:v>5 - 11</c:v>
                </c:pt>
                <c:pt idx="3">
                  <c:v>12 - 15</c:v>
                </c:pt>
                <c:pt idx="4">
                  <c:v>16 &amp; Over</c:v>
                </c:pt>
              </c:strCache>
            </c:strRef>
          </c:cat>
          <c:val>
            <c:numRef>
              <c:f>'[1]Age Bar Chart'!$L$8:$P$8</c:f>
              <c:numCache>
                <c:formatCode>General</c:formatCode>
                <c:ptCount val="5"/>
                <c:pt idx="0">
                  <c:v>0.12972972972972974</c:v>
                </c:pt>
                <c:pt idx="1">
                  <c:v>0.26756756756756755</c:v>
                </c:pt>
                <c:pt idx="2">
                  <c:v>0.38648648648648648</c:v>
                </c:pt>
                <c:pt idx="3">
                  <c:v>0.17027027027027028</c:v>
                </c:pt>
                <c:pt idx="4">
                  <c:v>4.5945945945945948E-2</c:v>
                </c:pt>
              </c:numCache>
            </c:numRef>
          </c:val>
        </c:ser>
        <c:ser>
          <c:idx val="4"/>
          <c:order val="4"/>
          <c:tx>
            <c:strRef>
              <c:f>'[1]Age Bar Chart'!$B$9</c:f>
              <c:strCache>
                <c:ptCount val="1"/>
                <c:pt idx="0">
                  <c:v>Western HSC Trust</c:v>
                </c:pt>
              </c:strCache>
            </c:strRef>
          </c:tx>
          <c:cat>
            <c:strRef>
              <c:f>'[1]Age Bar Chart'!$C$4:$G$4</c:f>
              <c:strCache>
                <c:ptCount val="5"/>
                <c:pt idx="0">
                  <c:v>Under 1</c:v>
                </c:pt>
                <c:pt idx="1">
                  <c:v>1 - 4</c:v>
                </c:pt>
                <c:pt idx="2">
                  <c:v>5 - 11</c:v>
                </c:pt>
                <c:pt idx="3">
                  <c:v>12 - 15</c:v>
                </c:pt>
                <c:pt idx="4">
                  <c:v>16 &amp; Over</c:v>
                </c:pt>
              </c:strCache>
            </c:strRef>
          </c:cat>
          <c:val>
            <c:numRef>
              <c:f>'[1]Age Bar Chart'!$L$9:$P$9</c:f>
              <c:numCache>
                <c:formatCode>General</c:formatCode>
                <c:ptCount val="5"/>
                <c:pt idx="0">
                  <c:v>0.11470588235294117</c:v>
                </c:pt>
                <c:pt idx="1">
                  <c:v>0.29117647058823531</c:v>
                </c:pt>
                <c:pt idx="2">
                  <c:v>0.36470588235294116</c:v>
                </c:pt>
                <c:pt idx="3">
                  <c:v>0.18529411764705883</c:v>
                </c:pt>
                <c:pt idx="4">
                  <c:v>4.4117647058823532E-2</c:v>
                </c:pt>
              </c:numCache>
            </c:numRef>
          </c:val>
        </c:ser>
        <c:ser>
          <c:idx val="5"/>
          <c:order val="5"/>
          <c:tx>
            <c:strRef>
              <c:f>'[1]Age Bar Chart'!$B$10</c:f>
              <c:strCache>
                <c:ptCount val="1"/>
                <c:pt idx="0">
                  <c:v>Northern Ireland</c:v>
                </c:pt>
              </c:strCache>
            </c:strRef>
          </c:tx>
          <c:cat>
            <c:strRef>
              <c:f>'[1]Age Bar Chart'!$C$4:$G$4</c:f>
              <c:strCache>
                <c:ptCount val="5"/>
                <c:pt idx="0">
                  <c:v>Under 1</c:v>
                </c:pt>
                <c:pt idx="1">
                  <c:v>1 - 4</c:v>
                </c:pt>
                <c:pt idx="2">
                  <c:v>5 - 11</c:v>
                </c:pt>
                <c:pt idx="3">
                  <c:v>12 - 15</c:v>
                </c:pt>
                <c:pt idx="4">
                  <c:v>16 &amp; Over</c:v>
                </c:pt>
              </c:strCache>
            </c:strRef>
          </c:cat>
          <c:val>
            <c:numRef>
              <c:f>'[1]Age Bar Chart'!$L$10:$P$10</c:f>
              <c:numCache>
                <c:formatCode>General</c:formatCode>
                <c:ptCount val="5"/>
                <c:pt idx="0">
                  <c:v>0.11168562564632885</c:v>
                </c:pt>
                <c:pt idx="1">
                  <c:v>0.29317476732161324</c:v>
                </c:pt>
                <c:pt idx="2">
                  <c:v>0.37331954498448811</c:v>
                </c:pt>
                <c:pt idx="3">
                  <c:v>0.18148914167528438</c:v>
                </c:pt>
                <c:pt idx="4">
                  <c:v>4.0330920372285417E-2</c:v>
                </c:pt>
              </c:numCache>
            </c:numRef>
          </c:val>
        </c:ser>
        <c:axId val="83250176"/>
        <c:axId val="83260160"/>
      </c:barChart>
      <c:catAx>
        <c:axId val="83250176"/>
        <c:scaling>
          <c:orientation val="minMax"/>
        </c:scaling>
        <c:axPos val="b"/>
        <c:numFmt formatCode="@"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260160"/>
        <c:crosses val="autoZero"/>
        <c:auto val="1"/>
        <c:lblAlgn val="ctr"/>
        <c:lblOffset val="100"/>
      </c:catAx>
      <c:valAx>
        <c:axId val="83260160"/>
        <c:scaling>
          <c:orientation val="minMax"/>
        </c:scaling>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250176"/>
        <c:crosses val="autoZero"/>
        <c:crossBetween val="between"/>
      </c:valAx>
    </c:plotArea>
    <c:legend>
      <c:legendPos val="r"/>
      <c:layout>
        <c:manualLayout>
          <c:xMode val="edge"/>
          <c:yMode val="edge"/>
          <c:x val="0.79321338299584609"/>
          <c:y val="4.460559196567495E-2"/>
          <c:w val="0.19424739858211118"/>
          <c:h val="0.8056243418674458"/>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7066619774265193E-2"/>
          <c:y val="3.3491763755774888E-2"/>
          <c:w val="0.88266333262396268"/>
          <c:h val="0.54937460403656435"/>
        </c:manualLayout>
      </c:layout>
      <c:lineChart>
        <c:grouping val="standard"/>
        <c:ser>
          <c:idx val="0"/>
          <c:order val="0"/>
          <c:tx>
            <c:strRef>
              <c:f>'[2]Trust CPR Trends'!$C$2</c:f>
              <c:strCache>
                <c:ptCount val="1"/>
                <c:pt idx="0">
                  <c:v>Belfast HSC Trust</c:v>
                </c:pt>
              </c:strCache>
            </c:strRef>
          </c:tx>
          <c:cat>
            <c:strRef>
              <c:f>'[2]Trust CPR Trends'!$B$4:$B$18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'[2]Trust CPR Trends'!$C$4:$C$18</c:f>
              <c:numCache>
                <c:formatCode>General</c:formatCode>
                <c:ptCount val="15"/>
                <c:pt idx="0">
                  <c:v>586</c:v>
                </c:pt>
                <c:pt idx="1">
                  <c:v>592</c:v>
                </c:pt>
                <c:pt idx="2">
                  <c:v>629</c:v>
                </c:pt>
                <c:pt idx="3">
                  <c:v>553</c:v>
                </c:pt>
                <c:pt idx="4">
                  <c:v>555</c:v>
                </c:pt>
                <c:pt idx="5">
                  <c:v>545</c:v>
                </c:pt>
                <c:pt idx="6">
                  <c:v>549</c:v>
                </c:pt>
                <c:pt idx="7">
                  <c:v>511</c:v>
                </c:pt>
                <c:pt idx="8">
                  <c:v>474</c:v>
                </c:pt>
                <c:pt idx="9">
                  <c:v>447</c:v>
                </c:pt>
                <c:pt idx="10">
                  <c:v>436</c:v>
                </c:pt>
                <c:pt idx="11">
                  <c:v>462</c:v>
                </c:pt>
                <c:pt idx="12">
                  <c:v>424</c:v>
                </c:pt>
                <c:pt idx="13">
                  <c:v>378</c:v>
                </c:pt>
                <c:pt idx="14">
                  <c:v>387</c:v>
                </c:pt>
              </c:numCache>
            </c:numRef>
          </c:val>
        </c:ser>
        <c:ser>
          <c:idx val="1"/>
          <c:order val="1"/>
          <c:tx>
            <c:strRef>
              <c:f>'[2]Trust CPR Trends'!$D$2</c:f>
              <c:strCache>
                <c:ptCount val="1"/>
                <c:pt idx="0">
                  <c:v>Northern HSC Trust</c:v>
                </c:pt>
              </c:strCache>
            </c:strRef>
          </c:tx>
          <c:cat>
            <c:strRef>
              <c:f>'[2]Trust CPR Trends'!$B$4:$B$18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'[2]Trust CPR Trends'!$D$4:$D$18</c:f>
              <c:numCache>
                <c:formatCode>General</c:formatCode>
                <c:ptCount val="15"/>
                <c:pt idx="0">
                  <c:v>372</c:v>
                </c:pt>
                <c:pt idx="1">
                  <c:v>409</c:v>
                </c:pt>
                <c:pt idx="2">
                  <c:v>430</c:v>
                </c:pt>
                <c:pt idx="3">
                  <c:v>418</c:v>
                </c:pt>
                <c:pt idx="4">
                  <c:v>452</c:v>
                </c:pt>
                <c:pt idx="5">
                  <c:v>407</c:v>
                </c:pt>
                <c:pt idx="6">
                  <c:v>393</c:v>
                </c:pt>
                <c:pt idx="7">
                  <c:v>424</c:v>
                </c:pt>
                <c:pt idx="8">
                  <c:v>458</c:v>
                </c:pt>
                <c:pt idx="9">
                  <c:v>474</c:v>
                </c:pt>
                <c:pt idx="10">
                  <c:v>534</c:v>
                </c:pt>
                <c:pt idx="11">
                  <c:v>560</c:v>
                </c:pt>
                <c:pt idx="12">
                  <c:v>525</c:v>
                </c:pt>
                <c:pt idx="13">
                  <c:v>436</c:v>
                </c:pt>
                <c:pt idx="14">
                  <c:v>438</c:v>
                </c:pt>
              </c:numCache>
            </c:numRef>
          </c:val>
        </c:ser>
        <c:ser>
          <c:idx val="2"/>
          <c:order val="2"/>
          <c:tx>
            <c:strRef>
              <c:f>'[2]Trust CPR Trends'!$E$2</c:f>
              <c:strCache>
                <c:ptCount val="1"/>
                <c:pt idx="0">
                  <c:v>South Eastern HSC Trust</c:v>
                </c:pt>
              </c:strCache>
            </c:strRef>
          </c:tx>
          <c:cat>
            <c:strRef>
              <c:f>'[2]Trust CPR Trends'!$B$4:$B$18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'[2]Trust CPR Trends'!$E$4:$E$18</c:f>
              <c:numCache>
                <c:formatCode>General</c:formatCode>
                <c:ptCount val="15"/>
                <c:pt idx="0">
                  <c:v>709</c:v>
                </c:pt>
                <c:pt idx="1">
                  <c:v>757</c:v>
                </c:pt>
                <c:pt idx="2">
                  <c:v>758</c:v>
                </c:pt>
                <c:pt idx="3">
                  <c:v>677</c:v>
                </c:pt>
                <c:pt idx="4">
                  <c:v>686</c:v>
                </c:pt>
                <c:pt idx="5">
                  <c:v>620</c:v>
                </c:pt>
                <c:pt idx="6">
                  <c:v>590</c:v>
                </c:pt>
                <c:pt idx="7">
                  <c:v>567</c:v>
                </c:pt>
                <c:pt idx="8">
                  <c:v>529</c:v>
                </c:pt>
                <c:pt idx="9">
                  <c:v>462</c:v>
                </c:pt>
                <c:pt idx="10">
                  <c:v>466</c:v>
                </c:pt>
                <c:pt idx="11">
                  <c:v>401</c:v>
                </c:pt>
                <c:pt idx="12">
                  <c:v>402</c:v>
                </c:pt>
                <c:pt idx="13">
                  <c:v>359</c:v>
                </c:pt>
                <c:pt idx="14">
                  <c:v>399</c:v>
                </c:pt>
              </c:numCache>
            </c:numRef>
          </c:val>
        </c:ser>
        <c:ser>
          <c:idx val="3"/>
          <c:order val="3"/>
          <c:tx>
            <c:strRef>
              <c:f>'[2]Trust CPR Trends'!$F$2</c:f>
              <c:strCache>
                <c:ptCount val="1"/>
                <c:pt idx="0">
                  <c:v>Southern HSC Trust</c:v>
                </c:pt>
              </c:strCache>
            </c:strRef>
          </c:tx>
          <c:cat>
            <c:strRef>
              <c:f>'[2]Trust CPR Trends'!$B$4:$B$18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'[2]Trust CPR Trends'!$F$4:$F$18</c:f>
              <c:numCache>
                <c:formatCode>General</c:formatCode>
                <c:ptCount val="15"/>
                <c:pt idx="0">
                  <c:v>461</c:v>
                </c:pt>
                <c:pt idx="1">
                  <c:v>460</c:v>
                </c:pt>
                <c:pt idx="2">
                  <c:v>498</c:v>
                </c:pt>
                <c:pt idx="3">
                  <c:v>518</c:v>
                </c:pt>
                <c:pt idx="4">
                  <c:v>473</c:v>
                </c:pt>
                <c:pt idx="5">
                  <c:v>413</c:v>
                </c:pt>
                <c:pt idx="6">
                  <c:v>391</c:v>
                </c:pt>
                <c:pt idx="7">
                  <c:v>384</c:v>
                </c:pt>
                <c:pt idx="8">
                  <c:v>363</c:v>
                </c:pt>
                <c:pt idx="9">
                  <c:v>341</c:v>
                </c:pt>
                <c:pt idx="10">
                  <c:v>338</c:v>
                </c:pt>
                <c:pt idx="11">
                  <c:v>303</c:v>
                </c:pt>
                <c:pt idx="12">
                  <c:v>313</c:v>
                </c:pt>
                <c:pt idx="13">
                  <c:v>316</c:v>
                </c:pt>
                <c:pt idx="14">
                  <c:v>369</c:v>
                </c:pt>
              </c:numCache>
            </c:numRef>
          </c:val>
        </c:ser>
        <c:ser>
          <c:idx val="4"/>
          <c:order val="4"/>
          <c:tx>
            <c:strRef>
              <c:f>'[2]Trust CPR Trends'!$G$2</c:f>
              <c:strCache>
                <c:ptCount val="1"/>
                <c:pt idx="0">
                  <c:v>Western HSC Trust</c:v>
                </c:pt>
              </c:strCache>
            </c:strRef>
          </c:tx>
          <c:cat>
            <c:strRef>
              <c:f>'[2]Trust CPR Trends'!$B$4:$B$18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'[2]Trust CPR Trends'!$G$4:$G$18</c:f>
              <c:numCache>
                <c:formatCode>General</c:formatCode>
                <c:ptCount val="15"/>
                <c:pt idx="0">
                  <c:v>229</c:v>
                </c:pt>
                <c:pt idx="1">
                  <c:v>209</c:v>
                </c:pt>
                <c:pt idx="2">
                  <c:v>218</c:v>
                </c:pt>
                <c:pt idx="3">
                  <c:v>212</c:v>
                </c:pt>
                <c:pt idx="4">
                  <c:v>235</c:v>
                </c:pt>
                <c:pt idx="5">
                  <c:v>230</c:v>
                </c:pt>
                <c:pt idx="6">
                  <c:v>297</c:v>
                </c:pt>
                <c:pt idx="7">
                  <c:v>287</c:v>
                </c:pt>
                <c:pt idx="8">
                  <c:v>303</c:v>
                </c:pt>
                <c:pt idx="9">
                  <c:v>261</c:v>
                </c:pt>
                <c:pt idx="10">
                  <c:v>266</c:v>
                </c:pt>
                <c:pt idx="11">
                  <c:v>283</c:v>
                </c:pt>
                <c:pt idx="12">
                  <c:v>297</c:v>
                </c:pt>
                <c:pt idx="13">
                  <c:v>301</c:v>
                </c:pt>
                <c:pt idx="14">
                  <c:v>340</c:v>
                </c:pt>
              </c:numCache>
            </c:numRef>
          </c:val>
        </c:ser>
        <c:marker val="1"/>
        <c:axId val="219837184"/>
        <c:axId val="219838720"/>
      </c:lineChart>
      <c:catAx>
        <c:axId val="219837184"/>
        <c:scaling>
          <c:orientation val="minMax"/>
        </c:scaling>
        <c:axPos val="b"/>
        <c:numFmt formatCode="@" sourceLinked="1"/>
        <c:tickLblPos val="nextTo"/>
        <c:txPr>
          <a:bodyPr rot="-2700000" vert="horz"/>
          <a:lstStyle/>
          <a:p>
            <a:pPr>
              <a:defRPr sz="900" b="0" i="0" u="none" strike="noStrike" baseline="0">
                <a:solidFill>
                  <a:srgbClr val="000000"/>
                </a:solidFill>
                <a:latin typeface="Calibri"/>
                <a:ea typeface="Calibri"/>
                <a:cs typeface="Calibri"/>
              </a:defRPr>
            </a:pPr>
            <a:endParaRPr lang="en-US"/>
          </a:p>
        </c:txPr>
        <c:crossAx val="219838720"/>
        <c:crosses val="autoZero"/>
        <c:auto val="1"/>
        <c:lblAlgn val="ctr"/>
        <c:lblOffset val="100"/>
      </c:catAx>
      <c:valAx>
        <c:axId val="219838720"/>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9837184"/>
        <c:crosses val="autoZero"/>
        <c:crossBetween val="between"/>
      </c:valAx>
    </c:plotArea>
    <c:legend>
      <c:legendPos val="r"/>
      <c:layout>
        <c:manualLayout>
          <c:xMode val="edge"/>
          <c:yMode val="edge"/>
          <c:x val="5.6195467120663971E-2"/>
          <c:y val="0.83397676086245165"/>
          <c:w val="0.86374991132865186"/>
          <c:h val="0.15332344730118291"/>
        </c:manualLayout>
      </c:layout>
      <c:txPr>
        <a:bodyPr/>
        <a:lstStyle/>
        <a:p>
          <a:pPr>
            <a:defRPr sz="710"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'[1]Legal Status - Region'!$I$18</c:f>
              <c:strCache>
                <c:ptCount val="1"/>
                <c:pt idx="0">
                  <c:v>Accommodated (Article 21)</c:v>
                </c:pt>
              </c:strCache>
            </c:strRef>
          </c:tx>
          <c:cat>
            <c:strRef>
              <c:f>'[1]Legal Status - Region'!$A$19:$A$33</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'[1]Legal Status - Region'!$I$19:$I$33</c:f>
              <c:numCache>
                <c:formatCode>General</c:formatCode>
                <c:ptCount val="15"/>
                <c:pt idx="0">
                  <c:v>0.10969927996611606</c:v>
                </c:pt>
                <c:pt idx="1">
                  <c:v>0.10474226804123711</c:v>
                </c:pt>
                <c:pt idx="2">
                  <c:v>6.9877615475720495E-2</c:v>
                </c:pt>
                <c:pt idx="3">
                  <c:v>5.7611438183347352E-2</c:v>
                </c:pt>
                <c:pt idx="4">
                  <c:v>6.2057476051645147E-2</c:v>
                </c:pt>
                <c:pt idx="5">
                  <c:v>5.3273137697516931E-2</c:v>
                </c:pt>
                <c:pt idx="6">
                  <c:v>4.8648648648648651E-2</c:v>
                </c:pt>
                <c:pt idx="7">
                  <c:v>4.5559134836631383E-2</c:v>
                </c:pt>
                <c:pt idx="8">
                  <c:v>4.748472026328162E-2</c:v>
                </c:pt>
                <c:pt idx="9">
                  <c:v>3.5768261964735516E-2</c:v>
                </c:pt>
                <c:pt idx="10">
                  <c:v>4.4607843137254903E-2</c:v>
                </c:pt>
                <c:pt idx="11">
                  <c:v>4.3802887008461924E-2</c:v>
                </c:pt>
                <c:pt idx="12">
                  <c:v>4.7934727180010198E-2</c:v>
                </c:pt>
                <c:pt idx="13">
                  <c:v>4.5251396648044694E-2</c:v>
                </c:pt>
                <c:pt idx="14">
                  <c:v>4.5501551189245086E-2</c:v>
                </c:pt>
              </c:numCache>
            </c:numRef>
          </c:val>
        </c:ser>
        <c:ser>
          <c:idx val="1"/>
          <c:order val="1"/>
          <c:tx>
            <c:strRef>
              <c:f>'[1]Legal Status - Region'!$J$18</c:f>
              <c:strCache>
                <c:ptCount val="1"/>
                <c:pt idx="0">
                  <c:v>Interim Care Order (Article 57)</c:v>
                </c:pt>
              </c:strCache>
            </c:strRef>
          </c:tx>
          <c:cat>
            <c:strRef>
              <c:f>'[1]Legal Status - Region'!$A$19:$A$33</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'[1]Legal Status - Region'!$J$19:$J$33</c:f>
              <c:numCache>
                <c:formatCode>General</c:formatCode>
                <c:ptCount val="15"/>
                <c:pt idx="0">
                  <c:v>4.7437526471833968E-2</c:v>
                </c:pt>
                <c:pt idx="1">
                  <c:v>3.9587628865979378E-2</c:v>
                </c:pt>
                <c:pt idx="2">
                  <c:v>3.750493485984998E-2</c:v>
                </c:pt>
                <c:pt idx="3">
                  <c:v>2.9015979814970564E-2</c:v>
                </c:pt>
                <c:pt idx="4">
                  <c:v>3.4568929612661392E-2</c:v>
                </c:pt>
                <c:pt idx="5">
                  <c:v>3.0699774266365689E-2</c:v>
                </c:pt>
                <c:pt idx="6">
                  <c:v>3.4684684684684684E-2</c:v>
                </c:pt>
                <c:pt idx="7">
                  <c:v>4.1877588587206624E-2</c:v>
                </c:pt>
                <c:pt idx="8">
                  <c:v>4.0432534085566525E-2</c:v>
                </c:pt>
                <c:pt idx="9">
                  <c:v>2.9722921914357683E-2</c:v>
                </c:pt>
                <c:pt idx="10">
                  <c:v>3.6764705882352942E-2</c:v>
                </c:pt>
                <c:pt idx="11">
                  <c:v>3.9820806371329016E-2</c:v>
                </c:pt>
                <c:pt idx="12">
                  <c:v>3.8755736868944415E-2</c:v>
                </c:pt>
                <c:pt idx="13">
                  <c:v>3.4636871508379886E-2</c:v>
                </c:pt>
                <c:pt idx="14">
                  <c:v>4.2399172699069287E-2</c:v>
                </c:pt>
              </c:numCache>
            </c:numRef>
          </c:val>
        </c:ser>
        <c:ser>
          <c:idx val="2"/>
          <c:order val="2"/>
          <c:tx>
            <c:strRef>
              <c:f>'[1]Legal Status - Region'!$K$18</c:f>
              <c:strCache>
                <c:ptCount val="1"/>
                <c:pt idx="0">
                  <c:v>Care Order (Article 50 or 59)</c:v>
                </c:pt>
              </c:strCache>
            </c:strRef>
          </c:tx>
          <c:cat>
            <c:strRef>
              <c:f>'[1]Legal Status - Region'!$A$19:$A$33</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'[1]Legal Status - Region'!$K$19:$K$33</c:f>
              <c:numCache>
                <c:formatCode>General</c:formatCode>
                <c:ptCount val="15"/>
                <c:pt idx="0">
                  <c:v>2.0753917831427361E-2</c:v>
                </c:pt>
                <c:pt idx="1">
                  <c:v>2.2268041237113401E-2</c:v>
                </c:pt>
                <c:pt idx="2">
                  <c:v>2.4476904855902093E-2</c:v>
                </c:pt>
                <c:pt idx="3">
                  <c:v>1.3036164844407064E-2</c:v>
                </c:pt>
                <c:pt idx="4">
                  <c:v>9.1628488129945861E-3</c:v>
                </c:pt>
                <c:pt idx="5">
                  <c:v>4.9661399548532733E-3</c:v>
                </c:pt>
                <c:pt idx="6">
                  <c:v>5.4054054054054057E-3</c:v>
                </c:pt>
                <c:pt idx="7">
                  <c:v>6.9028992176714222E-3</c:v>
                </c:pt>
                <c:pt idx="8">
                  <c:v>7.5223319228960974E-3</c:v>
                </c:pt>
                <c:pt idx="9">
                  <c:v>1.057934508816121E-2</c:v>
                </c:pt>
                <c:pt idx="10">
                  <c:v>7.3529411764705881E-3</c:v>
                </c:pt>
                <c:pt idx="11">
                  <c:v>4.4798407167745144E-3</c:v>
                </c:pt>
                <c:pt idx="12">
                  <c:v>3.5696073431922487E-3</c:v>
                </c:pt>
                <c:pt idx="13">
                  <c:v>1.6759776536312849E-3</c:v>
                </c:pt>
                <c:pt idx="14">
                  <c:v>8.790072388831437E-3</c:v>
                </c:pt>
              </c:numCache>
            </c:numRef>
          </c:val>
        </c:ser>
        <c:ser>
          <c:idx val="3"/>
          <c:order val="3"/>
          <c:tx>
            <c:strRef>
              <c:f>'[1]Legal Status - Region'!$L$18</c:f>
              <c:strCache>
                <c:ptCount val="1"/>
                <c:pt idx="0">
                  <c:v>Other</c:v>
                </c:pt>
              </c:strCache>
            </c:strRef>
          </c:tx>
          <c:cat>
            <c:strRef>
              <c:f>'[1]Legal Status - Region'!$A$19:$A$33</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'[1]Legal Status - Region'!$L$19:$L$33</c:f>
              <c:numCache>
                <c:formatCode>General</c:formatCode>
                <c:ptCount val="15"/>
                <c:pt idx="0">
                  <c:v>1.5671325709445152E-2</c:v>
                </c:pt>
                <c:pt idx="1">
                  <c:v>1.4020618556701031E-2</c:v>
                </c:pt>
                <c:pt idx="2">
                  <c:v>1.5791551519936834E-2</c:v>
                </c:pt>
                <c:pt idx="3">
                  <c:v>1.59798149705635E-2</c:v>
                </c:pt>
                <c:pt idx="4">
                  <c:v>6.2473969179508539E-3</c:v>
                </c:pt>
                <c:pt idx="5">
                  <c:v>7.6749435665914223E-3</c:v>
                </c:pt>
                <c:pt idx="6">
                  <c:v>1.036036036036036E-2</c:v>
                </c:pt>
                <c:pt idx="7">
                  <c:v>1.1504832029452371E-2</c:v>
                </c:pt>
                <c:pt idx="8">
                  <c:v>9.8730606488011286E-3</c:v>
                </c:pt>
                <c:pt idx="9">
                  <c:v>1.1083123425692695E-2</c:v>
                </c:pt>
                <c:pt idx="10">
                  <c:v>1.3725490196078431E-2</c:v>
                </c:pt>
                <c:pt idx="11">
                  <c:v>1.642608262817322E-2</c:v>
                </c:pt>
                <c:pt idx="12">
                  <c:v>2.0397756246812851E-2</c:v>
                </c:pt>
                <c:pt idx="13">
                  <c:v>2.2905027932960894E-2</c:v>
                </c:pt>
                <c:pt idx="14">
                  <c:v>2.2233712512926575E-2</c:v>
                </c:pt>
              </c:numCache>
            </c:numRef>
          </c:val>
        </c:ser>
        <c:ser>
          <c:idx val="4"/>
          <c:order val="4"/>
          <c:tx>
            <c:strRef>
              <c:f>'[1]Legal Status - Region'!$M$18</c:f>
              <c:strCache>
                <c:ptCount val="1"/>
                <c:pt idx="0">
                  <c:v>None</c:v>
                </c:pt>
              </c:strCache>
            </c:strRef>
          </c:tx>
          <c:cat>
            <c:strRef>
              <c:f>'[1]Legal Status - Region'!$A$19:$A$33</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'[1]Legal Status - Region'!$M$19:$M$33</c:f>
              <c:numCache>
                <c:formatCode>General</c:formatCode>
                <c:ptCount val="15"/>
                <c:pt idx="0">
                  <c:v>0.80643795002117746</c:v>
                </c:pt>
                <c:pt idx="1">
                  <c:v>0.81938144329896911</c:v>
                </c:pt>
                <c:pt idx="2">
                  <c:v>0.8523489932885906</c:v>
                </c:pt>
                <c:pt idx="3">
                  <c:v>0.88435660218671153</c:v>
                </c:pt>
                <c:pt idx="4">
                  <c:v>0.88796334860474802</c:v>
                </c:pt>
                <c:pt idx="5">
                  <c:v>0.90338600451467266</c:v>
                </c:pt>
                <c:pt idx="6">
                  <c:v>0.90090090090090091</c:v>
                </c:pt>
                <c:pt idx="7">
                  <c:v>0.89415554532903818</c:v>
                </c:pt>
                <c:pt idx="8">
                  <c:v>0.89468735307945468</c:v>
                </c:pt>
                <c:pt idx="9">
                  <c:v>0.91284634760705285</c:v>
                </c:pt>
                <c:pt idx="10">
                  <c:v>0.89754901960784317</c:v>
                </c:pt>
                <c:pt idx="11">
                  <c:v>0.89547038327526129</c:v>
                </c:pt>
                <c:pt idx="12">
                  <c:v>0.8893421723610403</c:v>
                </c:pt>
                <c:pt idx="13">
                  <c:v>0.89553072625698327</c:v>
                </c:pt>
                <c:pt idx="14">
                  <c:v>0.88107549120992756</c:v>
                </c:pt>
              </c:numCache>
            </c:numRef>
          </c:val>
        </c:ser>
        <c:overlap val="100"/>
        <c:axId val="83828096"/>
        <c:axId val="189485056"/>
      </c:barChart>
      <c:catAx>
        <c:axId val="83828096"/>
        <c:scaling>
          <c:orientation val="minMax"/>
        </c:scaling>
        <c:axPos val="b"/>
        <c:numFmt formatCode="@" sourceLinked="1"/>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89485056"/>
        <c:crosses val="autoZero"/>
        <c:auto val="1"/>
        <c:lblAlgn val="ctr"/>
        <c:lblOffset val="100"/>
      </c:catAx>
      <c:valAx>
        <c:axId val="189485056"/>
        <c:scaling>
          <c:orientation val="minMax"/>
          <c:max val="1"/>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828096"/>
        <c:crosses val="autoZero"/>
        <c:crossBetween val="between"/>
      </c:valAx>
    </c:plotArea>
    <c:legend>
      <c:legendPos val="r"/>
      <c:layout>
        <c:manualLayout>
          <c:xMode val="edge"/>
          <c:yMode val="edge"/>
          <c:x val="0.74439555550992942"/>
          <c:y val="4.2496775189628855E-2"/>
          <c:w val="0.24426586181290588"/>
          <c:h val="0.71876007908878614"/>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0"/>
          <c:order val="0"/>
          <c:tx>
            <c:strRef>
              <c:f>'[1]Referrals Region'!$B$37</c:f>
              <c:strCache>
                <c:ptCount val="1"/>
                <c:pt idx="0">
                  <c:v>Police</c:v>
                </c:pt>
              </c:strCache>
            </c:strRef>
          </c:tx>
          <c:cat>
            <c:strRef>
              <c:f>'[1]Referrals Region'!$A$38:$A$52</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'[1]Referrals Region'!$B$38:$B$52</c:f>
              <c:numCache>
                <c:formatCode>General</c:formatCode>
                <c:ptCount val="15"/>
                <c:pt idx="0">
                  <c:v>0.13439849624060152</c:v>
                </c:pt>
                <c:pt idx="1">
                  <c:v>9.7440132122213044E-2</c:v>
                </c:pt>
                <c:pt idx="2">
                  <c:v>0.14471243042671614</c:v>
                </c:pt>
                <c:pt idx="3">
                  <c:v>0.11121495327102804</c:v>
                </c:pt>
                <c:pt idx="4">
                  <c:v>0.14319433516915814</c:v>
                </c:pt>
                <c:pt idx="5">
                  <c:v>0.14165261382799327</c:v>
                </c:pt>
                <c:pt idx="6">
                  <c:v>0.17145505097312327</c:v>
                </c:pt>
                <c:pt idx="7">
                  <c:v>0.16213592233009708</c:v>
                </c:pt>
                <c:pt idx="8">
                  <c:v>0.13303964757709252</c:v>
                </c:pt>
                <c:pt idx="9">
                  <c:v>0.12569832402234637</c:v>
                </c:pt>
                <c:pt idx="10">
                  <c:v>0.22199170124481327</c:v>
                </c:pt>
                <c:pt idx="11">
                  <c:v>0.19314079422382671</c:v>
                </c:pt>
                <c:pt idx="12">
                  <c:v>0.15633937082936131</c:v>
                </c:pt>
                <c:pt idx="13">
                  <c:v>0.14184397163120568</c:v>
                </c:pt>
                <c:pt idx="14">
                  <c:v>0.12593383137673425</c:v>
                </c:pt>
              </c:numCache>
            </c:numRef>
          </c:val>
        </c:ser>
        <c:ser>
          <c:idx val="1"/>
          <c:order val="1"/>
          <c:tx>
            <c:strRef>
              <c:f>'[1]Referrals Region'!$C$37</c:f>
              <c:strCache>
                <c:ptCount val="1"/>
                <c:pt idx="0">
                  <c:v>School / EWO </c:v>
                </c:pt>
              </c:strCache>
            </c:strRef>
          </c:tx>
          <c:cat>
            <c:strRef>
              <c:f>'[1]Referrals Region'!$A$38:$A$52</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'[1]Referrals Region'!$C$38:$C$52</c:f>
              <c:numCache>
                <c:formatCode>General</c:formatCode>
                <c:ptCount val="15"/>
                <c:pt idx="0">
                  <c:v>7.9887218045112784E-2</c:v>
                </c:pt>
                <c:pt idx="1">
                  <c:v>7.8447563996696945E-2</c:v>
                </c:pt>
                <c:pt idx="2">
                  <c:v>3.0612244897959183E-2</c:v>
                </c:pt>
                <c:pt idx="3">
                  <c:v>0.10093457943925234</c:v>
                </c:pt>
                <c:pt idx="4">
                  <c:v>0.13768686073957515</c:v>
                </c:pt>
                <c:pt idx="5">
                  <c:v>0.10370994940978077</c:v>
                </c:pt>
                <c:pt idx="6">
                  <c:v>6.1167747914735865E-2</c:v>
                </c:pt>
                <c:pt idx="7">
                  <c:v>9.9029126213592236E-2</c:v>
                </c:pt>
                <c:pt idx="8">
                  <c:v>0.10748898678414097</c:v>
                </c:pt>
                <c:pt idx="9">
                  <c:v>8.2867783985102417E-2</c:v>
                </c:pt>
                <c:pt idx="10">
                  <c:v>3.3195020746887967E-2</c:v>
                </c:pt>
                <c:pt idx="11">
                  <c:v>9.2057761732851989E-2</c:v>
                </c:pt>
                <c:pt idx="12">
                  <c:v>0.111534795042898</c:v>
                </c:pt>
                <c:pt idx="13">
                  <c:v>0.10549645390070922</c:v>
                </c:pt>
                <c:pt idx="14">
                  <c:v>3.5218783351120594E-2</c:v>
                </c:pt>
              </c:numCache>
            </c:numRef>
          </c:val>
        </c:ser>
        <c:ser>
          <c:idx val="2"/>
          <c:order val="2"/>
          <c:tx>
            <c:strRef>
              <c:f>'[1]Referrals Region'!$D$37</c:f>
              <c:strCache>
                <c:ptCount val="1"/>
                <c:pt idx="0">
                  <c:v>GP/Community Nursing/Hospital</c:v>
                </c:pt>
              </c:strCache>
            </c:strRef>
          </c:tx>
          <c:cat>
            <c:strRef>
              <c:f>'[1]Referrals Region'!$A$38:$A$52</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'[1]Referrals Region'!$D$38:$D$52</c:f>
              <c:numCache>
                <c:formatCode>General</c:formatCode>
                <c:ptCount val="15"/>
                <c:pt idx="0">
                  <c:v>5.6390977443609019E-2</c:v>
                </c:pt>
                <c:pt idx="1">
                  <c:v>7.1841453344343525E-2</c:v>
                </c:pt>
                <c:pt idx="2">
                  <c:v>8.3487940630797772E-2</c:v>
                </c:pt>
                <c:pt idx="3">
                  <c:v>6.4485981308411211E-2</c:v>
                </c:pt>
                <c:pt idx="4">
                  <c:v>7.0810385523210076E-2</c:v>
                </c:pt>
                <c:pt idx="5">
                  <c:v>6.6610455311973016E-2</c:v>
                </c:pt>
                <c:pt idx="6">
                  <c:v>7.5069508804448556E-2</c:v>
                </c:pt>
                <c:pt idx="7">
                  <c:v>6.5048543689320393E-2</c:v>
                </c:pt>
                <c:pt idx="8">
                  <c:v>4.933920704845815E-2</c:v>
                </c:pt>
                <c:pt idx="9">
                  <c:v>5.9590316573556797E-2</c:v>
                </c:pt>
                <c:pt idx="10">
                  <c:v>6.8464730290456438E-2</c:v>
                </c:pt>
                <c:pt idx="11">
                  <c:v>5.9566787003610108E-2</c:v>
                </c:pt>
                <c:pt idx="12">
                  <c:v>8.4842707340324119E-2</c:v>
                </c:pt>
                <c:pt idx="13">
                  <c:v>7.9787234042553196E-2</c:v>
                </c:pt>
                <c:pt idx="14">
                  <c:v>4.5891141942369262E-2</c:v>
                </c:pt>
              </c:numCache>
            </c:numRef>
          </c:val>
        </c:ser>
        <c:ser>
          <c:idx val="3"/>
          <c:order val="3"/>
          <c:tx>
            <c:strRef>
              <c:f>'[1]Referrals Region'!$E$37</c:f>
              <c:strCache>
                <c:ptCount val="1"/>
                <c:pt idx="0">
                  <c:v>Social Services</c:v>
                </c:pt>
              </c:strCache>
            </c:strRef>
          </c:tx>
          <c:cat>
            <c:strRef>
              <c:f>'[1]Referrals Region'!$A$38:$A$52</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'[1]Referrals Region'!$E$38:$E$52</c:f>
              <c:numCache>
                <c:formatCode>General</c:formatCode>
                <c:ptCount val="15"/>
                <c:pt idx="0">
                  <c:v>0.42857142857142855</c:v>
                </c:pt>
                <c:pt idx="1">
                  <c:v>0.40545004128819156</c:v>
                </c:pt>
                <c:pt idx="2">
                  <c:v>0.39610389610389612</c:v>
                </c:pt>
                <c:pt idx="3">
                  <c:v>0.47102803738317756</c:v>
                </c:pt>
                <c:pt idx="4">
                  <c:v>0.43745082612116443</c:v>
                </c:pt>
                <c:pt idx="5">
                  <c:v>0.4451939291736931</c:v>
                </c:pt>
                <c:pt idx="6">
                  <c:v>0.43466172381835033</c:v>
                </c:pt>
                <c:pt idx="7">
                  <c:v>0.46699029126213593</c:v>
                </c:pt>
                <c:pt idx="8">
                  <c:v>0.47488986784140969</c:v>
                </c:pt>
                <c:pt idx="9">
                  <c:v>0.54003724394785846</c:v>
                </c:pt>
                <c:pt idx="10">
                  <c:v>0.4408713692946058</c:v>
                </c:pt>
                <c:pt idx="11">
                  <c:v>0.45577617328519854</c:v>
                </c:pt>
                <c:pt idx="12">
                  <c:v>0.44613918017159199</c:v>
                </c:pt>
                <c:pt idx="13">
                  <c:v>0.45390070921985815</c:v>
                </c:pt>
                <c:pt idx="14">
                  <c:v>0.54535752401280679</c:v>
                </c:pt>
              </c:numCache>
            </c:numRef>
          </c:val>
        </c:ser>
        <c:ser>
          <c:idx val="4"/>
          <c:order val="4"/>
          <c:tx>
            <c:strRef>
              <c:f>'[1]Referrals Region'!$F$37</c:f>
              <c:strCache>
                <c:ptCount val="1"/>
                <c:pt idx="0">
                  <c:v>Relative/Neighbour/Friend</c:v>
                </c:pt>
              </c:strCache>
            </c:strRef>
          </c:tx>
          <c:cat>
            <c:strRef>
              <c:f>'[1]Referrals Region'!$A$38:$A$52</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'[1]Referrals Region'!$F$38:$F$52</c:f>
              <c:numCache>
                <c:formatCode>General</c:formatCode>
                <c:ptCount val="15"/>
                <c:pt idx="0">
                  <c:v>8.5526315789473673E-2</c:v>
                </c:pt>
                <c:pt idx="1">
                  <c:v>6.028075970272502E-2</c:v>
                </c:pt>
                <c:pt idx="2">
                  <c:v>8.4415584415584416E-2</c:v>
                </c:pt>
                <c:pt idx="3">
                  <c:v>7.1028037383177575E-2</c:v>
                </c:pt>
                <c:pt idx="4">
                  <c:v>5.5861526357199057E-2</c:v>
                </c:pt>
                <c:pt idx="5">
                  <c:v>5.1433389544688027E-2</c:v>
                </c:pt>
                <c:pt idx="6">
                  <c:v>6.7655236329935128E-2</c:v>
                </c:pt>
                <c:pt idx="7">
                  <c:v>5.7281553398058252E-2</c:v>
                </c:pt>
                <c:pt idx="8">
                  <c:v>4.933920704845815E-2</c:v>
                </c:pt>
                <c:pt idx="9">
                  <c:v>4.9348230912476719E-2</c:v>
                </c:pt>
                <c:pt idx="10">
                  <c:v>6.5352697095435688E-2</c:v>
                </c:pt>
                <c:pt idx="11">
                  <c:v>5.6859205776173288E-2</c:v>
                </c:pt>
                <c:pt idx="12">
                  <c:v>5.8150619637750242E-2</c:v>
                </c:pt>
                <c:pt idx="13">
                  <c:v>3.8120567375886524E-2</c:v>
                </c:pt>
                <c:pt idx="14">
                  <c:v>6.1899679829242264E-2</c:v>
                </c:pt>
              </c:numCache>
            </c:numRef>
          </c:val>
        </c:ser>
        <c:ser>
          <c:idx val="5"/>
          <c:order val="5"/>
          <c:tx>
            <c:strRef>
              <c:f>'[1]Referrals Region'!$G$37</c:f>
              <c:strCache>
                <c:ptCount val="1"/>
                <c:pt idx="0">
                  <c:v>Voluntary Organiation</c:v>
                </c:pt>
              </c:strCache>
            </c:strRef>
          </c:tx>
          <c:cat>
            <c:strRef>
              <c:f>'[1]Referrals Region'!$A$38:$A$52</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'[1]Referrals Region'!$G$38:$G$52</c:f>
              <c:numCache>
                <c:formatCode>General</c:formatCode>
                <c:ptCount val="15"/>
                <c:pt idx="0">
                  <c:v>1.2218045112781954E-2</c:v>
                </c:pt>
                <c:pt idx="1">
                  <c:v>8.2576383154417832E-3</c:v>
                </c:pt>
                <c:pt idx="2">
                  <c:v>1.7625231910946195E-2</c:v>
                </c:pt>
                <c:pt idx="3">
                  <c:v>1.3084112149532711E-2</c:v>
                </c:pt>
                <c:pt idx="4">
                  <c:v>8.6546026750590095E-3</c:v>
                </c:pt>
                <c:pt idx="5">
                  <c:v>1.1804384485666104E-2</c:v>
                </c:pt>
                <c:pt idx="6">
                  <c:v>1.4828544949026877E-2</c:v>
                </c:pt>
                <c:pt idx="7">
                  <c:v>2.524271844660194E-2</c:v>
                </c:pt>
                <c:pt idx="8">
                  <c:v>1.5859030837004406E-2</c:v>
                </c:pt>
                <c:pt idx="9">
                  <c:v>9.3109869646182501E-3</c:v>
                </c:pt>
                <c:pt idx="10">
                  <c:v>1.0373443983402489E-2</c:v>
                </c:pt>
                <c:pt idx="11">
                  <c:v>6.3176895306859202E-3</c:v>
                </c:pt>
                <c:pt idx="12">
                  <c:v>1.9065776930409914E-3</c:v>
                </c:pt>
                <c:pt idx="13">
                  <c:v>2.1276595744680851E-2</c:v>
                </c:pt>
                <c:pt idx="14">
                  <c:v>6.4034151547491995E-3</c:v>
                </c:pt>
              </c:numCache>
            </c:numRef>
          </c:val>
        </c:ser>
        <c:ser>
          <c:idx val="6"/>
          <c:order val="6"/>
          <c:tx>
            <c:strRef>
              <c:f>'[1]Referrals Region'!$H$37</c:f>
              <c:strCache>
                <c:ptCount val="1"/>
                <c:pt idx="0">
                  <c:v>Self</c:v>
                </c:pt>
              </c:strCache>
            </c:strRef>
          </c:tx>
          <c:cat>
            <c:strRef>
              <c:f>'[1]Referrals Region'!$A$38:$A$52</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'[1]Referrals Region'!$H$38:$H$52</c:f>
              <c:numCache>
                <c:formatCode>General</c:formatCode>
                <c:ptCount val="15"/>
                <c:pt idx="0">
                  <c:v>4.6992481203007516E-3</c:v>
                </c:pt>
                <c:pt idx="1">
                  <c:v>1.8992568125516102E-2</c:v>
                </c:pt>
                <c:pt idx="2">
                  <c:v>1.5769944341372914E-2</c:v>
                </c:pt>
                <c:pt idx="3">
                  <c:v>1.0280373831775701E-2</c:v>
                </c:pt>
                <c:pt idx="4">
                  <c:v>1.1801730920535013E-2</c:v>
                </c:pt>
                <c:pt idx="5">
                  <c:v>1.0118043844856661E-2</c:v>
                </c:pt>
                <c:pt idx="6">
                  <c:v>1.2048192771084338E-2</c:v>
                </c:pt>
                <c:pt idx="7">
                  <c:v>2.0388349514563107E-2</c:v>
                </c:pt>
                <c:pt idx="8">
                  <c:v>1.7621145374449341E-2</c:v>
                </c:pt>
                <c:pt idx="9">
                  <c:v>9.3109869646182501E-3</c:v>
                </c:pt>
                <c:pt idx="10">
                  <c:v>1.7634854771784232E-2</c:v>
                </c:pt>
                <c:pt idx="11">
                  <c:v>1.9855595667870037E-2</c:v>
                </c:pt>
                <c:pt idx="12">
                  <c:v>1.0486177311725452E-2</c:v>
                </c:pt>
                <c:pt idx="13">
                  <c:v>1.6843971631205674E-2</c:v>
                </c:pt>
                <c:pt idx="14">
                  <c:v>7.470651013874066E-3</c:v>
                </c:pt>
              </c:numCache>
            </c:numRef>
          </c:val>
        </c:ser>
        <c:ser>
          <c:idx val="7"/>
          <c:order val="7"/>
          <c:tx>
            <c:strRef>
              <c:f>'[1]Referrals Region'!$I$37</c:f>
              <c:strCache>
                <c:ptCount val="1"/>
                <c:pt idx="0">
                  <c:v>Anonymous</c:v>
                </c:pt>
              </c:strCache>
            </c:strRef>
          </c:tx>
          <c:cat>
            <c:strRef>
              <c:f>'[1]Referrals Region'!$A$38:$A$52</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'[1]Referrals Region'!$I$38:$I$52</c:f>
              <c:numCache>
                <c:formatCode>General</c:formatCode>
                <c:ptCount val="15"/>
                <c:pt idx="0">
                  <c:v>3.8533834586466163E-2</c:v>
                </c:pt>
                <c:pt idx="1">
                  <c:v>5.9454995871180839E-2</c:v>
                </c:pt>
                <c:pt idx="2">
                  <c:v>4.9165120593692019E-2</c:v>
                </c:pt>
                <c:pt idx="3">
                  <c:v>4.8598130841121495E-2</c:v>
                </c:pt>
                <c:pt idx="4">
                  <c:v>3.3831628638867031E-2</c:v>
                </c:pt>
                <c:pt idx="5">
                  <c:v>3.3726812816188868E-2</c:v>
                </c:pt>
                <c:pt idx="6">
                  <c:v>4.5412418906394809E-2</c:v>
                </c:pt>
                <c:pt idx="7">
                  <c:v>2.524271844660194E-2</c:v>
                </c:pt>
                <c:pt idx="8">
                  <c:v>1.9383259911894272E-2</c:v>
                </c:pt>
                <c:pt idx="9">
                  <c:v>2.4208566108007448E-2</c:v>
                </c:pt>
                <c:pt idx="10">
                  <c:v>2.9045643153526972E-2</c:v>
                </c:pt>
                <c:pt idx="11">
                  <c:v>1.9855595667870037E-2</c:v>
                </c:pt>
                <c:pt idx="12">
                  <c:v>1.9065776930409915E-2</c:v>
                </c:pt>
                <c:pt idx="13">
                  <c:v>3.1914893617021274E-2</c:v>
                </c:pt>
                <c:pt idx="14">
                  <c:v>5.2294557097118465E-2</c:v>
                </c:pt>
              </c:numCache>
            </c:numRef>
          </c:val>
        </c:ser>
        <c:ser>
          <c:idx val="8"/>
          <c:order val="8"/>
          <c:tx>
            <c:strRef>
              <c:f>'[1]Referrals Region'!$J$37</c:f>
              <c:strCache>
                <c:ptCount val="1"/>
                <c:pt idx="0">
                  <c:v>Other</c:v>
                </c:pt>
              </c:strCache>
            </c:strRef>
          </c:tx>
          <c:cat>
            <c:strRef>
              <c:f>'[1]Referrals Region'!$A$38:$A$52</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'[1]Referrals Region'!$J$38:$J$52</c:f>
              <c:numCache>
                <c:formatCode>General</c:formatCode>
                <c:ptCount val="15"/>
                <c:pt idx="0">
                  <c:v>0.15977443609022557</c:v>
                </c:pt>
                <c:pt idx="1">
                  <c:v>0.19983484723369116</c:v>
                </c:pt>
                <c:pt idx="2">
                  <c:v>0.17810760667903525</c:v>
                </c:pt>
                <c:pt idx="3">
                  <c:v>0.10934579439252337</c:v>
                </c:pt>
                <c:pt idx="4">
                  <c:v>0.1007081038552321</c:v>
                </c:pt>
                <c:pt idx="5">
                  <c:v>0.13575042158516021</c:v>
                </c:pt>
                <c:pt idx="6">
                  <c:v>0.11770157553290084</c:v>
                </c:pt>
                <c:pt idx="7">
                  <c:v>7.8640776699029122E-2</c:v>
                </c:pt>
                <c:pt idx="8">
                  <c:v>0.13303964757709252</c:v>
                </c:pt>
                <c:pt idx="9">
                  <c:v>9.9627560521415276E-2</c:v>
                </c:pt>
                <c:pt idx="10">
                  <c:v>0.11307053941908714</c:v>
                </c:pt>
                <c:pt idx="11">
                  <c:v>9.6570397111913356E-2</c:v>
                </c:pt>
                <c:pt idx="12">
                  <c:v>0.111534795042898</c:v>
                </c:pt>
                <c:pt idx="13">
                  <c:v>0.11081560283687943</c:v>
                </c:pt>
                <c:pt idx="14">
                  <c:v>0.11953041622198506</c:v>
                </c:pt>
              </c:numCache>
            </c:numRef>
          </c:val>
        </c:ser>
        <c:overlap val="100"/>
        <c:axId val="196050304"/>
        <c:axId val="209831040"/>
      </c:barChart>
      <c:catAx>
        <c:axId val="196050304"/>
        <c:scaling>
          <c:orientation val="minMax"/>
        </c:scaling>
        <c:axPos val="b"/>
        <c:numFmt formatCode="@" sourceLinked="1"/>
        <c:tickLblPos val="nextTo"/>
        <c:txPr>
          <a:bodyPr rot="-2700000" vert="horz"/>
          <a:lstStyle/>
          <a:p>
            <a:pPr>
              <a:defRPr sz="900" b="0" i="0" u="none" strike="noStrike" baseline="0">
                <a:solidFill>
                  <a:srgbClr val="000000"/>
                </a:solidFill>
                <a:latin typeface="Calibri"/>
                <a:ea typeface="Calibri"/>
                <a:cs typeface="Calibri"/>
              </a:defRPr>
            </a:pPr>
            <a:endParaRPr lang="en-US"/>
          </a:p>
        </c:txPr>
        <c:crossAx val="209831040"/>
        <c:crosses val="autoZero"/>
        <c:lblAlgn val="ctr"/>
        <c:lblOffset val="100"/>
      </c:catAx>
      <c:valAx>
        <c:axId val="209831040"/>
        <c:scaling>
          <c:orientation val="minMax"/>
        </c:scaling>
        <c:axPos val="l"/>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6050304"/>
        <c:crosses val="autoZero"/>
        <c:crossBetween val="between"/>
      </c:valAx>
    </c:plotArea>
    <c:legend>
      <c:legendPos val="r"/>
      <c:layout>
        <c:manualLayout>
          <c:xMode val="edge"/>
          <c:yMode val="edge"/>
          <c:x val="0.76126731885787002"/>
          <c:y val="6.2511841192264758E-2"/>
          <c:w val="0.2387326811421302"/>
          <c:h val="0.77927824539173984"/>
        </c:manualLayout>
      </c:layout>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7426664186661758E-2"/>
          <c:y val="4.3667727374786122E-2"/>
          <c:w val="0.90216099365532054"/>
          <c:h val="0.53587841342841103"/>
        </c:manualLayout>
      </c:layout>
      <c:lineChart>
        <c:grouping val="standard"/>
        <c:ser>
          <c:idx val="0"/>
          <c:order val="0"/>
          <c:tx>
            <c:strRef>
              <c:f>'[1]Referral Trends'!$C$3</c:f>
              <c:strCache>
                <c:ptCount val="1"/>
                <c:pt idx="0">
                  <c:v>Belfast HSC Trust</c:v>
                </c:pt>
              </c:strCache>
            </c:strRef>
          </c:tx>
          <c:cat>
            <c:strRef>
              <c:f>'[1]Referral Trends'!$B$5:$B$19</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 Trends'!$C$5:$C$19</c:f>
              <c:numCache>
                <c:formatCode>General</c:formatCode>
                <c:ptCount val="15"/>
                <c:pt idx="0">
                  <c:v>134</c:v>
                </c:pt>
                <c:pt idx="1">
                  <c:v>145</c:v>
                </c:pt>
                <c:pt idx="2">
                  <c:v>116</c:v>
                </c:pt>
                <c:pt idx="3">
                  <c:v>143</c:v>
                </c:pt>
                <c:pt idx="4">
                  <c:v>168</c:v>
                </c:pt>
                <c:pt idx="5">
                  <c:v>167</c:v>
                </c:pt>
                <c:pt idx="6">
                  <c:v>146</c:v>
                </c:pt>
                <c:pt idx="7">
                  <c:v>150</c:v>
                </c:pt>
                <c:pt idx="8">
                  <c:v>159</c:v>
                </c:pt>
                <c:pt idx="9">
                  <c:v>176</c:v>
                </c:pt>
                <c:pt idx="10">
                  <c:v>114</c:v>
                </c:pt>
                <c:pt idx="11">
                  <c:v>162</c:v>
                </c:pt>
                <c:pt idx="12">
                  <c:v>123</c:v>
                </c:pt>
                <c:pt idx="13">
                  <c:v>135</c:v>
                </c:pt>
                <c:pt idx="14">
                  <c:v>101</c:v>
                </c:pt>
              </c:numCache>
            </c:numRef>
          </c:val>
        </c:ser>
        <c:ser>
          <c:idx val="1"/>
          <c:order val="1"/>
          <c:tx>
            <c:strRef>
              <c:f>'[1]Referral Trends'!$D$3</c:f>
              <c:strCache>
                <c:ptCount val="1"/>
                <c:pt idx="0">
                  <c:v>Northern HSC Trust</c:v>
                </c:pt>
              </c:strCache>
            </c:strRef>
          </c:tx>
          <c:cat>
            <c:strRef>
              <c:f>'[1]Referral Trends'!$B$5:$B$19</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 Trends'!$D$5:$D$19</c:f>
              <c:numCache>
                <c:formatCode>General</c:formatCode>
                <c:ptCount val="15"/>
                <c:pt idx="0">
                  <c:v>154</c:v>
                </c:pt>
                <c:pt idx="1">
                  <c:v>131</c:v>
                </c:pt>
                <c:pt idx="2">
                  <c:v>113</c:v>
                </c:pt>
                <c:pt idx="3">
                  <c:v>100</c:v>
                </c:pt>
                <c:pt idx="4">
                  <c:v>194</c:v>
                </c:pt>
                <c:pt idx="5">
                  <c:v>141</c:v>
                </c:pt>
                <c:pt idx="6">
                  <c:v>132</c:v>
                </c:pt>
                <c:pt idx="7">
                  <c:v>181</c:v>
                </c:pt>
                <c:pt idx="8">
                  <c:v>213</c:v>
                </c:pt>
                <c:pt idx="9">
                  <c:v>224</c:v>
                </c:pt>
                <c:pt idx="10">
                  <c:v>153</c:v>
                </c:pt>
                <c:pt idx="11">
                  <c:v>207</c:v>
                </c:pt>
                <c:pt idx="12">
                  <c:v>136</c:v>
                </c:pt>
                <c:pt idx="13">
                  <c:v>161</c:v>
                </c:pt>
                <c:pt idx="14">
                  <c:v>151</c:v>
                </c:pt>
              </c:numCache>
            </c:numRef>
          </c:val>
        </c:ser>
        <c:ser>
          <c:idx val="2"/>
          <c:order val="2"/>
          <c:tx>
            <c:strRef>
              <c:f>'[1]Referral Trends'!$E$3</c:f>
              <c:strCache>
                <c:ptCount val="1"/>
                <c:pt idx="0">
                  <c:v>South Eastern HSC Trust</c:v>
                </c:pt>
              </c:strCache>
            </c:strRef>
          </c:tx>
          <c:cat>
            <c:strRef>
              <c:f>'[1]Referral Trends'!$B$5:$B$19</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 Trends'!$E$5:$E$19</c:f>
              <c:numCache>
                <c:formatCode>General</c:formatCode>
                <c:ptCount val="15"/>
                <c:pt idx="0">
                  <c:v>416</c:v>
                </c:pt>
                <c:pt idx="1">
                  <c:v>507</c:v>
                </c:pt>
                <c:pt idx="2">
                  <c:v>418</c:v>
                </c:pt>
                <c:pt idx="3">
                  <c:v>309</c:v>
                </c:pt>
                <c:pt idx="4">
                  <c:v>447</c:v>
                </c:pt>
                <c:pt idx="5">
                  <c:v>432</c:v>
                </c:pt>
                <c:pt idx="6">
                  <c:v>370</c:v>
                </c:pt>
                <c:pt idx="7">
                  <c:v>354</c:v>
                </c:pt>
                <c:pt idx="8">
                  <c:v>314</c:v>
                </c:pt>
                <c:pt idx="9">
                  <c:v>284</c:v>
                </c:pt>
                <c:pt idx="10">
                  <c:v>294</c:v>
                </c:pt>
                <c:pt idx="11">
                  <c:v>279</c:v>
                </c:pt>
                <c:pt idx="12">
                  <c:v>305</c:v>
                </c:pt>
                <c:pt idx="13">
                  <c:v>300</c:v>
                </c:pt>
                <c:pt idx="14">
                  <c:v>295</c:v>
                </c:pt>
              </c:numCache>
            </c:numRef>
          </c:val>
        </c:ser>
        <c:ser>
          <c:idx val="3"/>
          <c:order val="3"/>
          <c:tx>
            <c:strRef>
              <c:f>'[1]Referral Trends'!$F$3</c:f>
              <c:strCache>
                <c:ptCount val="1"/>
                <c:pt idx="0">
                  <c:v>Southern HSC Trust</c:v>
                </c:pt>
              </c:strCache>
            </c:strRef>
          </c:tx>
          <c:cat>
            <c:strRef>
              <c:f>'[1]Referral Trends'!$B$5:$B$19</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 Trends'!$F$5:$F$19</c:f>
              <c:numCache>
                <c:formatCode>General</c:formatCode>
                <c:ptCount val="15"/>
                <c:pt idx="0">
                  <c:v>278</c:v>
                </c:pt>
                <c:pt idx="1">
                  <c:v>318</c:v>
                </c:pt>
                <c:pt idx="2">
                  <c:v>340</c:v>
                </c:pt>
                <c:pt idx="3">
                  <c:v>366</c:v>
                </c:pt>
                <c:pt idx="4">
                  <c:v>347</c:v>
                </c:pt>
                <c:pt idx="5">
                  <c:v>310</c:v>
                </c:pt>
                <c:pt idx="6">
                  <c:v>293</c:v>
                </c:pt>
                <c:pt idx="7">
                  <c:v>250</c:v>
                </c:pt>
                <c:pt idx="8">
                  <c:v>325</c:v>
                </c:pt>
                <c:pt idx="9">
                  <c:v>296</c:v>
                </c:pt>
                <c:pt idx="10">
                  <c:v>272</c:v>
                </c:pt>
                <c:pt idx="11">
                  <c:v>314</c:v>
                </c:pt>
                <c:pt idx="12">
                  <c:v>332</c:v>
                </c:pt>
                <c:pt idx="13">
                  <c:v>352</c:v>
                </c:pt>
                <c:pt idx="14">
                  <c:v>250</c:v>
                </c:pt>
              </c:numCache>
            </c:numRef>
          </c:val>
        </c:ser>
        <c:ser>
          <c:idx val="4"/>
          <c:order val="4"/>
          <c:tx>
            <c:strRef>
              <c:f>'[1]Referral Trends'!$G$3</c:f>
              <c:strCache>
                <c:ptCount val="1"/>
                <c:pt idx="0">
                  <c:v>Western HSC Trust</c:v>
                </c:pt>
              </c:strCache>
            </c:strRef>
          </c:tx>
          <c:cat>
            <c:strRef>
              <c:f>'[1]Referral Trends'!$B$5:$B$19</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'[1]Referral Trends'!$G$5:$G$19</c:f>
              <c:numCache>
                <c:formatCode>General</c:formatCode>
                <c:ptCount val="15"/>
                <c:pt idx="0">
                  <c:v>82</c:v>
                </c:pt>
                <c:pt idx="1">
                  <c:v>110</c:v>
                </c:pt>
                <c:pt idx="2">
                  <c:v>91</c:v>
                </c:pt>
                <c:pt idx="3">
                  <c:v>152</c:v>
                </c:pt>
                <c:pt idx="4">
                  <c:v>115</c:v>
                </c:pt>
                <c:pt idx="5">
                  <c:v>136</c:v>
                </c:pt>
                <c:pt idx="6">
                  <c:v>138</c:v>
                </c:pt>
                <c:pt idx="7">
                  <c:v>95</c:v>
                </c:pt>
                <c:pt idx="8">
                  <c:v>124</c:v>
                </c:pt>
                <c:pt idx="9">
                  <c:v>94</c:v>
                </c:pt>
                <c:pt idx="10">
                  <c:v>131</c:v>
                </c:pt>
                <c:pt idx="11">
                  <c:v>146</c:v>
                </c:pt>
                <c:pt idx="12">
                  <c:v>153</c:v>
                </c:pt>
                <c:pt idx="13">
                  <c:v>180</c:v>
                </c:pt>
                <c:pt idx="14">
                  <c:v>140</c:v>
                </c:pt>
              </c:numCache>
            </c:numRef>
          </c:val>
        </c:ser>
        <c:marker val="1"/>
        <c:axId val="210101376"/>
        <c:axId val="210114816"/>
      </c:lineChart>
      <c:catAx>
        <c:axId val="210101376"/>
        <c:scaling>
          <c:orientation val="minMax"/>
        </c:scaling>
        <c:axPos val="b"/>
        <c:numFmt formatCode="@" sourceLinked="1"/>
        <c:tickLblPos val="nextTo"/>
        <c:txPr>
          <a:bodyPr rot="-2700000" vert="horz"/>
          <a:lstStyle/>
          <a:p>
            <a:pPr>
              <a:defRPr sz="900" b="0" i="0" u="none" strike="noStrike" baseline="0">
                <a:solidFill>
                  <a:srgbClr val="000000"/>
                </a:solidFill>
                <a:latin typeface="Calibri"/>
                <a:ea typeface="Calibri"/>
                <a:cs typeface="Calibri"/>
              </a:defRPr>
            </a:pPr>
            <a:endParaRPr lang="en-US"/>
          </a:p>
        </c:txPr>
        <c:crossAx val="210114816"/>
        <c:crosses val="autoZero"/>
        <c:auto val="1"/>
        <c:lblAlgn val="ctr"/>
        <c:lblOffset val="100"/>
      </c:catAx>
      <c:valAx>
        <c:axId val="210114816"/>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0101376"/>
        <c:crosses val="autoZero"/>
        <c:crossBetween val="between"/>
      </c:valAx>
    </c:plotArea>
    <c:legend>
      <c:legendPos val="r"/>
      <c:layout>
        <c:manualLayout>
          <c:xMode val="edge"/>
          <c:yMode val="edge"/>
          <c:x val="1.1183995701324735E-2"/>
          <c:y val="0.85023637532034158"/>
          <c:w val="0.94299923533180474"/>
          <c:h val="0.11315324522487792"/>
        </c:manualLayout>
      </c:layout>
      <c:spPr>
        <a:ln>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0693768078504157E-2"/>
          <c:y val="4.3411611671708192E-2"/>
          <c:w val="0.89487110474827014"/>
          <c:h val="0.5203891256712172"/>
        </c:manualLayout>
      </c:layout>
      <c:lineChart>
        <c:grouping val="standard"/>
        <c:ser>
          <c:idx val="0"/>
          <c:order val="0"/>
          <c:tx>
            <c:strRef>
              <c:f>'[1]BHSCT - CPR'!$C$3</c:f>
              <c:strCache>
                <c:ptCount val="1"/>
                <c:pt idx="0">
                  <c:v>Number of Children On Child Protection Register</c:v>
                </c:pt>
              </c:strCache>
            </c:strRef>
          </c:tx>
          <c:cat>
            <c:strRef>
              <c:f>'[1]BHSCT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'[1]BHSCT - CPR'!$C$4:$C$18</c:f>
              <c:numCache>
                <c:formatCode>General</c:formatCode>
                <c:ptCount val="15"/>
                <c:pt idx="0">
                  <c:v>586</c:v>
                </c:pt>
                <c:pt idx="1">
                  <c:v>592</c:v>
                </c:pt>
                <c:pt idx="2">
                  <c:v>629</c:v>
                </c:pt>
                <c:pt idx="3">
                  <c:v>553</c:v>
                </c:pt>
                <c:pt idx="4">
                  <c:v>555</c:v>
                </c:pt>
                <c:pt idx="5">
                  <c:v>545</c:v>
                </c:pt>
                <c:pt idx="6">
                  <c:v>549</c:v>
                </c:pt>
                <c:pt idx="7">
                  <c:v>511</c:v>
                </c:pt>
                <c:pt idx="8">
                  <c:v>474</c:v>
                </c:pt>
                <c:pt idx="9">
                  <c:v>447</c:v>
                </c:pt>
                <c:pt idx="10">
                  <c:v>436</c:v>
                </c:pt>
                <c:pt idx="11">
                  <c:v>462</c:v>
                </c:pt>
                <c:pt idx="12">
                  <c:v>424</c:v>
                </c:pt>
                <c:pt idx="13">
                  <c:v>378</c:v>
                </c:pt>
                <c:pt idx="14">
                  <c:v>387</c:v>
                </c:pt>
              </c:numCache>
            </c:numRef>
          </c:val>
        </c:ser>
        <c:ser>
          <c:idx val="1"/>
          <c:order val="1"/>
          <c:tx>
            <c:strRef>
              <c:f>'[1]BHSCT - CPR'!$D$3</c:f>
              <c:strCache>
                <c:ptCount val="1"/>
                <c:pt idx="0">
                  <c:v>Child Protection Referrals per Quarter</c:v>
                </c:pt>
              </c:strCache>
            </c:strRef>
          </c:tx>
          <c:spPr>
            <a:ln>
              <a:solidFill>
                <a:srgbClr val="00B0F0"/>
              </a:solidFill>
            </a:ln>
          </c:spPr>
          <c:marker>
            <c:symbol val="square"/>
            <c:size val="7"/>
            <c:spPr>
              <a:solidFill>
                <a:srgbClr val="00B0F0"/>
              </a:solidFill>
              <a:ln>
                <a:solidFill>
                  <a:srgbClr val="00B0F0"/>
                </a:solidFill>
              </a:ln>
            </c:spPr>
          </c:marker>
          <c:cat>
            <c:strRef>
              <c:f>'[1]BHSCT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'[1]BHSCT - CPR'!$D$4:$D$18</c:f>
              <c:numCache>
                <c:formatCode>General</c:formatCode>
                <c:ptCount val="15"/>
                <c:pt idx="0">
                  <c:v>134</c:v>
                </c:pt>
                <c:pt idx="1">
                  <c:v>145</c:v>
                </c:pt>
                <c:pt idx="2">
                  <c:v>116</c:v>
                </c:pt>
                <c:pt idx="3">
                  <c:v>143</c:v>
                </c:pt>
                <c:pt idx="4">
                  <c:v>168</c:v>
                </c:pt>
                <c:pt idx="5">
                  <c:v>167</c:v>
                </c:pt>
                <c:pt idx="6">
                  <c:v>146</c:v>
                </c:pt>
                <c:pt idx="7">
                  <c:v>150</c:v>
                </c:pt>
                <c:pt idx="8">
                  <c:v>159</c:v>
                </c:pt>
                <c:pt idx="9">
                  <c:v>176</c:v>
                </c:pt>
                <c:pt idx="10">
                  <c:v>114</c:v>
                </c:pt>
                <c:pt idx="11">
                  <c:v>162</c:v>
                </c:pt>
                <c:pt idx="12">
                  <c:v>123</c:v>
                </c:pt>
                <c:pt idx="13">
                  <c:v>135</c:v>
                </c:pt>
                <c:pt idx="14">
                  <c:v>101</c:v>
                </c:pt>
              </c:numCache>
            </c:numRef>
          </c:val>
        </c:ser>
        <c:marker val="1"/>
        <c:axId val="217735936"/>
        <c:axId val="217737856"/>
      </c:lineChart>
      <c:catAx>
        <c:axId val="217735936"/>
        <c:scaling>
          <c:orientation val="minMax"/>
        </c:scaling>
        <c:axPos val="b"/>
        <c:numFmt formatCode="@" sourceLinked="1"/>
        <c:tickLblPos val="nextTo"/>
        <c:txPr>
          <a:bodyPr rot="-2700000" vert="horz"/>
          <a:lstStyle/>
          <a:p>
            <a:pPr>
              <a:defRPr sz="900" b="0" i="0" u="none" strike="noStrike" baseline="0">
                <a:solidFill>
                  <a:srgbClr val="000000"/>
                </a:solidFill>
                <a:latin typeface="Calibri"/>
                <a:ea typeface="Calibri"/>
                <a:cs typeface="Calibri"/>
              </a:defRPr>
            </a:pPr>
            <a:endParaRPr lang="en-US"/>
          </a:p>
        </c:txPr>
        <c:crossAx val="217737856"/>
        <c:crosses val="autoZero"/>
        <c:auto val="1"/>
        <c:lblAlgn val="ctr"/>
        <c:lblOffset val="100"/>
      </c:catAx>
      <c:valAx>
        <c:axId val="217737856"/>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7735936"/>
        <c:crosses val="autoZero"/>
        <c:crossBetween val="between"/>
      </c:valAx>
    </c:plotArea>
    <c:legend>
      <c:legendPos val="r"/>
      <c:layout>
        <c:manualLayout>
          <c:xMode val="edge"/>
          <c:yMode val="edge"/>
          <c:x val="5.3466952994512119E-4"/>
          <c:y val="0.85889795885606068"/>
          <c:w val="0.99139145788594618"/>
          <c:h val="0.12677855635018087"/>
        </c:manualLayout>
      </c:layout>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6192919508700602E-2"/>
          <c:y val="3.6194033203062331E-2"/>
          <c:w val="0.88394704938710034"/>
          <c:h val="0.5270542858971895"/>
        </c:manualLayout>
      </c:layout>
      <c:lineChart>
        <c:grouping val="standard"/>
        <c:ser>
          <c:idx val="0"/>
          <c:order val="0"/>
          <c:tx>
            <c:strRef>
              <c:f>'[1]NHSCT - CPR'!$C$3</c:f>
              <c:strCache>
                <c:ptCount val="1"/>
                <c:pt idx="0">
                  <c:v>Number of Children On Child Protection Register</c:v>
                </c:pt>
              </c:strCache>
            </c:strRef>
          </c:tx>
          <c:cat>
            <c:strRef>
              <c:f>'[1]NHSCT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'[1]NHSCT - CPR'!$C$4:$C$18</c:f>
              <c:numCache>
                <c:formatCode>General</c:formatCode>
                <c:ptCount val="15"/>
                <c:pt idx="0">
                  <c:v>372</c:v>
                </c:pt>
                <c:pt idx="1">
                  <c:v>409</c:v>
                </c:pt>
                <c:pt idx="2">
                  <c:v>430</c:v>
                </c:pt>
                <c:pt idx="3">
                  <c:v>418</c:v>
                </c:pt>
                <c:pt idx="4">
                  <c:v>452</c:v>
                </c:pt>
                <c:pt idx="5">
                  <c:v>407</c:v>
                </c:pt>
                <c:pt idx="6">
                  <c:v>393</c:v>
                </c:pt>
                <c:pt idx="7">
                  <c:v>424</c:v>
                </c:pt>
                <c:pt idx="8">
                  <c:v>458</c:v>
                </c:pt>
                <c:pt idx="9">
                  <c:v>474</c:v>
                </c:pt>
                <c:pt idx="10">
                  <c:v>534</c:v>
                </c:pt>
                <c:pt idx="11">
                  <c:v>560</c:v>
                </c:pt>
                <c:pt idx="12">
                  <c:v>525</c:v>
                </c:pt>
                <c:pt idx="13">
                  <c:v>436</c:v>
                </c:pt>
                <c:pt idx="14">
                  <c:v>438</c:v>
                </c:pt>
              </c:numCache>
            </c:numRef>
          </c:val>
        </c:ser>
        <c:ser>
          <c:idx val="1"/>
          <c:order val="1"/>
          <c:tx>
            <c:strRef>
              <c:f>'[1]NHSCT - CPR'!$D$3</c:f>
              <c:strCache>
                <c:ptCount val="1"/>
                <c:pt idx="0">
                  <c:v>Child Protection Referrals per Quarter</c:v>
                </c:pt>
              </c:strCache>
            </c:strRef>
          </c:tx>
          <c:spPr>
            <a:ln>
              <a:solidFill>
                <a:srgbClr val="00B0F0"/>
              </a:solidFill>
            </a:ln>
          </c:spPr>
          <c:marker>
            <c:spPr>
              <a:solidFill>
                <a:srgbClr val="00B0F0"/>
              </a:solidFill>
              <a:ln>
                <a:solidFill>
                  <a:srgbClr val="00B0F0"/>
                </a:solidFill>
              </a:ln>
            </c:spPr>
          </c:marker>
          <c:cat>
            <c:strRef>
              <c:f>'[1]NHSCT - CPR'!$B$4:$B$18</c:f>
              <c:strCache>
                <c:ptCount val="15"/>
                <c:pt idx="0">
                  <c:v>31 March 2010</c:v>
                </c:pt>
                <c:pt idx="1">
                  <c:v>30 June 2010</c:v>
                </c:pt>
                <c:pt idx="2">
                  <c:v>30 September 2010</c:v>
                </c:pt>
                <c:pt idx="3">
                  <c:v>31 December 2010</c:v>
                </c:pt>
                <c:pt idx="4">
                  <c:v>31 March 2011</c:v>
                </c:pt>
                <c:pt idx="5">
                  <c:v>30 June 2011</c:v>
                </c:pt>
                <c:pt idx="6">
                  <c:v>30 September 2011</c:v>
                </c:pt>
                <c:pt idx="7">
                  <c:v>31 December 2011</c:v>
                </c:pt>
                <c:pt idx="8">
                  <c:v>31 March 2012</c:v>
                </c:pt>
                <c:pt idx="9">
                  <c:v>30 June 2012</c:v>
                </c:pt>
                <c:pt idx="10">
                  <c:v>30 September 2012</c:v>
                </c:pt>
                <c:pt idx="11">
                  <c:v>31 December 2012</c:v>
                </c:pt>
                <c:pt idx="12">
                  <c:v>31 March 2013</c:v>
                </c:pt>
                <c:pt idx="13">
                  <c:v>30 June 2013</c:v>
                </c:pt>
                <c:pt idx="14">
                  <c:v>30 September 2013</c:v>
                </c:pt>
              </c:strCache>
            </c:strRef>
          </c:cat>
          <c:val>
            <c:numRef>
              <c:f>'[1]NHSCT - CPR'!$D$4:$D$18</c:f>
              <c:numCache>
                <c:formatCode>General</c:formatCode>
                <c:ptCount val="15"/>
                <c:pt idx="0">
                  <c:v>154</c:v>
                </c:pt>
                <c:pt idx="1">
                  <c:v>131</c:v>
                </c:pt>
                <c:pt idx="2">
                  <c:v>113</c:v>
                </c:pt>
                <c:pt idx="3">
                  <c:v>100</c:v>
                </c:pt>
                <c:pt idx="4">
                  <c:v>194</c:v>
                </c:pt>
                <c:pt idx="5">
                  <c:v>141</c:v>
                </c:pt>
                <c:pt idx="6">
                  <c:v>132</c:v>
                </c:pt>
                <c:pt idx="7">
                  <c:v>181</c:v>
                </c:pt>
                <c:pt idx="8">
                  <c:v>213</c:v>
                </c:pt>
                <c:pt idx="9">
                  <c:v>224</c:v>
                </c:pt>
                <c:pt idx="10">
                  <c:v>153</c:v>
                </c:pt>
                <c:pt idx="11">
                  <c:v>207</c:v>
                </c:pt>
                <c:pt idx="12">
                  <c:v>136</c:v>
                </c:pt>
                <c:pt idx="13">
                  <c:v>161</c:v>
                </c:pt>
                <c:pt idx="14">
                  <c:v>151</c:v>
                </c:pt>
              </c:numCache>
            </c:numRef>
          </c:val>
        </c:ser>
        <c:marker val="1"/>
        <c:axId val="219199360"/>
        <c:axId val="219217920"/>
      </c:lineChart>
      <c:catAx>
        <c:axId val="219199360"/>
        <c:scaling>
          <c:orientation val="minMax"/>
        </c:scaling>
        <c:axPos val="b"/>
        <c:numFmt formatCode="@" sourceLinked="1"/>
        <c:tickLblPos val="nextTo"/>
        <c:txPr>
          <a:bodyPr rot="-2700000" vert="horz"/>
          <a:lstStyle/>
          <a:p>
            <a:pPr>
              <a:defRPr sz="900" b="0" i="0" u="none" strike="noStrike" baseline="0">
                <a:solidFill>
                  <a:srgbClr val="000000"/>
                </a:solidFill>
                <a:latin typeface="Calibri"/>
                <a:ea typeface="Calibri"/>
                <a:cs typeface="Calibri"/>
              </a:defRPr>
            </a:pPr>
            <a:endParaRPr lang="en-US"/>
          </a:p>
        </c:txPr>
        <c:crossAx val="219217920"/>
        <c:crosses val="autoZero"/>
        <c:auto val="1"/>
        <c:lblAlgn val="ctr"/>
        <c:lblOffset val="100"/>
      </c:catAx>
      <c:valAx>
        <c:axId val="219217920"/>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9199360"/>
        <c:crosses val="autoZero"/>
        <c:crossBetween val="between"/>
        <c:majorUnit val="100"/>
      </c:valAx>
    </c:plotArea>
    <c:legend>
      <c:legendPos val="r"/>
      <c:layout>
        <c:manualLayout>
          <c:xMode val="edge"/>
          <c:yMode val="edge"/>
          <c:x val="7.9833700787401655E-3"/>
          <c:y val="0.83085877984764056"/>
          <c:w val="0.96920676115485549"/>
          <c:h val="0.1316308174892773"/>
        </c:manualLayout>
      </c:layout>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13</xdr:col>
      <xdr:colOff>581025</xdr:colOff>
      <xdr:row>30</xdr:row>
      <xdr:rowOff>38100</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809625</xdr:colOff>
      <xdr:row>15</xdr:row>
      <xdr:rowOff>85725</xdr:rowOff>
    </xdr:from>
    <xdr:to>
      <xdr:col>1</xdr:col>
      <xdr:colOff>1524000</xdr:colOff>
      <xdr:row>15</xdr:row>
      <xdr:rowOff>161925</xdr:rowOff>
    </xdr:to>
    <xdr:cxnSp macro="">
      <xdr:nvCxnSpPr>
        <xdr:cNvPr id="18" name="Straight Connector 17"/>
        <xdr:cNvCxnSpPr/>
      </xdr:nvCxnSpPr>
      <xdr:spPr>
        <a:xfrm flipV="1">
          <a:off x="1419225" y="3533775"/>
          <a:ext cx="714375" cy="76200"/>
        </a:xfrm>
        <a:prstGeom prst="line">
          <a:avLst/>
        </a:prstGeom>
        <a:ln w="317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38</xdr:row>
      <xdr:rowOff>0</xdr:rowOff>
    </xdr:from>
    <xdr:to>
      <xdr:col>13</xdr:col>
      <xdr:colOff>504825</xdr:colOff>
      <xdr:row>52</xdr:row>
      <xdr:rowOff>76200</xdr:rowOff>
    </xdr:to>
    <xdr:graphicFrame macro="">
      <xdr:nvGraphicFramePr>
        <xdr:cNvPr id="2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13</xdr:col>
      <xdr:colOff>276225</xdr:colOff>
      <xdr:row>20</xdr:row>
      <xdr:rowOff>47625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609599</xdr:colOff>
      <xdr:row>2</xdr:row>
      <xdr:rowOff>0</xdr:rowOff>
    </xdr:from>
    <xdr:to>
      <xdr:col>12</xdr:col>
      <xdr:colOff>123824</xdr:colOff>
      <xdr:row>18</xdr:row>
      <xdr:rowOff>66675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333375</xdr:colOff>
      <xdr:row>18</xdr:row>
      <xdr:rowOff>171450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609599</xdr:colOff>
      <xdr:row>2</xdr:row>
      <xdr:rowOff>0</xdr:rowOff>
    </xdr:from>
    <xdr:to>
      <xdr:col>12</xdr:col>
      <xdr:colOff>561974</xdr:colOff>
      <xdr:row>18</xdr:row>
      <xdr:rowOff>171450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152400</xdr:colOff>
      <xdr:row>17</xdr:row>
      <xdr:rowOff>66675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209550</xdr:colOff>
      <xdr:row>18</xdr:row>
      <xdr:rowOff>171450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95250</xdr:colOff>
      <xdr:row>18</xdr:row>
      <xdr:rowOff>180975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171450</xdr:colOff>
      <xdr:row>22</xdr:row>
      <xdr:rowOff>152400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609599</xdr:colOff>
      <xdr:row>1</xdr:row>
      <xdr:rowOff>161925</xdr:rowOff>
    </xdr:from>
    <xdr:to>
      <xdr:col>10</xdr:col>
      <xdr:colOff>466724</xdr:colOff>
      <xdr:row>23</xdr:row>
      <xdr:rowOff>171450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0.16684</cdr:x>
      <cdr:y>0.36638</cdr:y>
    </cdr:from>
    <cdr:to>
      <cdr:x>0.24145</cdr:x>
      <cdr:y>0.40948</cdr:y>
    </cdr:to>
    <cdr:sp macro="" textlink="">
      <cdr:nvSpPr>
        <cdr:cNvPr id="3" name="Straight Connector 2"/>
        <cdr:cNvSpPr/>
      </cdr:nvSpPr>
      <cdr:spPr>
        <a:xfrm xmlns:a="http://schemas.openxmlformats.org/drawingml/2006/main">
          <a:off x="1533525" y="1619250"/>
          <a:ext cx="685800" cy="190500"/>
        </a:xfrm>
        <a:prstGeom xmlns:a="http://schemas.openxmlformats.org/drawingml/2006/main" prst="line">
          <a:avLst/>
        </a:prstGeom>
        <a:ln xmlns:a="http://schemas.openxmlformats.org/drawingml/2006/main" w="317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0.24249</cdr:x>
      <cdr:y>0.36853</cdr:y>
    </cdr:from>
    <cdr:to>
      <cdr:x>0.31813</cdr:x>
      <cdr:y>0.40733</cdr:y>
    </cdr:to>
    <cdr:sp macro="" textlink="">
      <cdr:nvSpPr>
        <cdr:cNvPr id="5" name="Straight Connector 4"/>
        <cdr:cNvSpPr/>
      </cdr:nvSpPr>
      <cdr:spPr>
        <a:xfrm xmlns:a="http://schemas.openxmlformats.org/drawingml/2006/main" flipV="1">
          <a:off x="2228850" y="1628775"/>
          <a:ext cx="695325" cy="171450"/>
        </a:xfrm>
        <a:prstGeom xmlns:a="http://schemas.openxmlformats.org/drawingml/2006/main" prst="line">
          <a:avLst/>
        </a:prstGeom>
        <a:ln xmlns:a="http://schemas.openxmlformats.org/drawingml/2006/main" w="317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pPr marL="0" indent="0"/>
          <a:endParaRPr lang="en-US" sz="1100">
            <a:solidFill>
              <a:schemeClr val="tx1"/>
            </a:solidFill>
            <a:latin typeface="+mn-lt"/>
            <a:ea typeface="+mn-ea"/>
            <a:cs typeface="+mn-cs"/>
          </a:endParaRPr>
        </a:p>
      </cdr:txBody>
    </cdr:sp>
  </cdr:relSizeAnchor>
  <cdr:relSizeAnchor xmlns:cdr="http://schemas.openxmlformats.org/drawingml/2006/chartDrawing">
    <cdr:from>
      <cdr:x>0.32021</cdr:x>
      <cdr:y>0.35776</cdr:y>
    </cdr:from>
    <cdr:to>
      <cdr:x>0.39793</cdr:x>
      <cdr:y>0.37069</cdr:y>
    </cdr:to>
    <cdr:sp macro="" textlink="">
      <cdr:nvSpPr>
        <cdr:cNvPr id="7" name="Straight Connector 6"/>
        <cdr:cNvSpPr/>
      </cdr:nvSpPr>
      <cdr:spPr>
        <a:xfrm xmlns:a="http://schemas.openxmlformats.org/drawingml/2006/main" flipV="1">
          <a:off x="2943225" y="1581150"/>
          <a:ext cx="714375" cy="57150"/>
        </a:xfrm>
        <a:prstGeom xmlns:a="http://schemas.openxmlformats.org/drawingml/2006/main" prst="line">
          <a:avLst/>
        </a:prstGeom>
        <a:ln xmlns:a="http://schemas.openxmlformats.org/drawingml/2006/main" w="317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pPr marL="0" indent="0"/>
          <a:endParaRPr lang="en-US" sz="1100">
            <a:solidFill>
              <a:schemeClr val="tx1"/>
            </a:solidFill>
            <a:latin typeface="+mn-lt"/>
            <a:ea typeface="+mn-ea"/>
            <a:cs typeface="+mn-cs"/>
          </a:endParaRPr>
        </a:p>
      </cdr:txBody>
    </cdr:sp>
  </cdr:relSizeAnchor>
  <cdr:relSizeAnchor xmlns:cdr="http://schemas.openxmlformats.org/drawingml/2006/chartDrawing">
    <cdr:from>
      <cdr:x>0.39689</cdr:x>
      <cdr:y>0.31681</cdr:y>
    </cdr:from>
    <cdr:to>
      <cdr:x>0.47358</cdr:x>
      <cdr:y>0.35776</cdr:y>
    </cdr:to>
    <cdr:sp macro="" textlink="">
      <cdr:nvSpPr>
        <cdr:cNvPr id="9" name="Straight Connector 8"/>
        <cdr:cNvSpPr/>
      </cdr:nvSpPr>
      <cdr:spPr>
        <a:xfrm xmlns:a="http://schemas.openxmlformats.org/drawingml/2006/main" flipV="1">
          <a:off x="3648075" y="1400175"/>
          <a:ext cx="704850" cy="180975"/>
        </a:xfrm>
        <a:prstGeom xmlns:a="http://schemas.openxmlformats.org/drawingml/2006/main" prst="line">
          <a:avLst/>
        </a:prstGeom>
        <a:ln xmlns:a="http://schemas.openxmlformats.org/drawingml/2006/main" w="317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pPr marL="0" indent="0"/>
          <a:endParaRPr lang="en-US" sz="1100">
            <a:solidFill>
              <a:schemeClr val="tx1"/>
            </a:solidFill>
            <a:latin typeface="+mn-lt"/>
            <a:ea typeface="+mn-ea"/>
            <a:cs typeface="+mn-cs"/>
          </a:endParaRPr>
        </a:p>
      </cdr:txBody>
    </cdr:sp>
  </cdr:relSizeAnchor>
  <cdr:relSizeAnchor xmlns:cdr="http://schemas.openxmlformats.org/drawingml/2006/chartDrawing">
    <cdr:from>
      <cdr:x>0.47358</cdr:x>
      <cdr:y>0.25647</cdr:y>
    </cdr:from>
    <cdr:to>
      <cdr:x>0.55026</cdr:x>
      <cdr:y>0.31681</cdr:y>
    </cdr:to>
    <cdr:sp macro="" textlink="">
      <cdr:nvSpPr>
        <cdr:cNvPr id="11" name="Straight Connector 10"/>
        <cdr:cNvSpPr/>
      </cdr:nvSpPr>
      <cdr:spPr>
        <a:xfrm xmlns:a="http://schemas.openxmlformats.org/drawingml/2006/main" flipV="1">
          <a:off x="4352925" y="1133475"/>
          <a:ext cx="704850" cy="266700"/>
        </a:xfrm>
        <a:prstGeom xmlns:a="http://schemas.openxmlformats.org/drawingml/2006/main" prst="line">
          <a:avLst/>
        </a:prstGeom>
        <a:ln xmlns:a="http://schemas.openxmlformats.org/drawingml/2006/main" w="317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pPr marL="0" indent="0"/>
          <a:endParaRPr lang="en-US" sz="1100">
            <a:solidFill>
              <a:schemeClr val="tx1"/>
            </a:solidFill>
            <a:latin typeface="+mn-lt"/>
            <a:ea typeface="+mn-ea"/>
            <a:cs typeface="+mn-cs"/>
          </a:endParaRPr>
        </a:p>
      </cdr:txBody>
    </cdr:sp>
  </cdr:relSizeAnchor>
  <cdr:relSizeAnchor xmlns:cdr="http://schemas.openxmlformats.org/drawingml/2006/chartDrawing">
    <cdr:from>
      <cdr:x>0.55026</cdr:x>
      <cdr:y>0.15517</cdr:y>
    </cdr:from>
    <cdr:to>
      <cdr:x>0.62798</cdr:x>
      <cdr:y>0.25431</cdr:y>
    </cdr:to>
    <cdr:sp macro="" textlink="">
      <cdr:nvSpPr>
        <cdr:cNvPr id="13" name="Straight Connector 12"/>
        <cdr:cNvSpPr/>
      </cdr:nvSpPr>
      <cdr:spPr>
        <a:xfrm xmlns:a="http://schemas.openxmlformats.org/drawingml/2006/main" flipV="1">
          <a:off x="5057775" y="685800"/>
          <a:ext cx="714375" cy="438150"/>
        </a:xfrm>
        <a:prstGeom xmlns:a="http://schemas.openxmlformats.org/drawingml/2006/main" prst="line">
          <a:avLst/>
        </a:prstGeom>
        <a:ln xmlns:a="http://schemas.openxmlformats.org/drawingml/2006/main" w="317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pPr marL="0" indent="0"/>
          <a:endParaRPr lang="en-US" sz="1100">
            <a:solidFill>
              <a:schemeClr val="tx1"/>
            </a:solidFill>
            <a:latin typeface="+mn-lt"/>
            <a:ea typeface="+mn-ea"/>
            <a:cs typeface="+mn-cs"/>
          </a:endParaRPr>
        </a:p>
      </cdr:txBody>
    </cdr:sp>
  </cdr:relSizeAnchor>
  <cdr:relSizeAnchor xmlns:cdr="http://schemas.openxmlformats.org/drawingml/2006/chartDrawing">
    <cdr:from>
      <cdr:x>0.62694</cdr:x>
      <cdr:y>0.15733</cdr:y>
    </cdr:from>
    <cdr:to>
      <cdr:x>0.7057</cdr:x>
      <cdr:y>0.18966</cdr:y>
    </cdr:to>
    <cdr:sp macro="" textlink="">
      <cdr:nvSpPr>
        <cdr:cNvPr id="15" name="Straight Connector 14"/>
        <cdr:cNvSpPr/>
      </cdr:nvSpPr>
      <cdr:spPr>
        <a:xfrm xmlns:a="http://schemas.openxmlformats.org/drawingml/2006/main">
          <a:off x="5762625" y="695325"/>
          <a:ext cx="723900" cy="142875"/>
        </a:xfrm>
        <a:prstGeom xmlns:a="http://schemas.openxmlformats.org/drawingml/2006/main" prst="line">
          <a:avLst/>
        </a:prstGeom>
        <a:ln xmlns:a="http://schemas.openxmlformats.org/drawingml/2006/main" w="317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pPr marL="0" indent="0"/>
          <a:endParaRPr lang="en-US" sz="1100">
            <a:solidFill>
              <a:schemeClr val="tx1"/>
            </a:solidFill>
            <a:latin typeface="+mn-lt"/>
            <a:ea typeface="+mn-ea"/>
            <a:cs typeface="+mn-cs"/>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1</xdr:row>
      <xdr:rowOff>190499</xdr:rowOff>
    </xdr:from>
    <xdr:to>
      <xdr:col>13</xdr:col>
      <xdr:colOff>419100</xdr:colOff>
      <xdr:row>19</xdr:row>
      <xdr:rowOff>142874</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609599</xdr:colOff>
      <xdr:row>2</xdr:row>
      <xdr:rowOff>0</xdr:rowOff>
    </xdr:from>
    <xdr:to>
      <xdr:col>13</xdr:col>
      <xdr:colOff>28574</xdr:colOff>
      <xdr:row>19</xdr:row>
      <xdr:rowOff>19049</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14</xdr:col>
      <xdr:colOff>220980</xdr:colOff>
      <xdr:row>22</xdr:row>
      <xdr:rowOff>47625</xdr:rowOff>
    </xdr:to>
    <xdr:pic>
      <xdr:nvPicPr>
        <xdr:cNvPr id="5" name="Picture 4"/>
        <xdr:cNvPicPr>
          <a:picLocks noChangeAspect="1"/>
        </xdr:cNvPicPr>
      </xdr:nvPicPr>
      <xdr:blipFill>
        <a:blip xmlns:r="http://schemas.openxmlformats.org/officeDocument/2006/relationships" r:embed="rId1" cstate="print"/>
        <a:stretch>
          <a:fillRect/>
        </a:stretch>
      </xdr:blipFill>
      <xdr:spPr>
        <a:xfrm>
          <a:off x="609600" y="381000"/>
          <a:ext cx="8145780" cy="3857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13</xdr:col>
      <xdr:colOff>37041</xdr:colOff>
      <xdr:row>27</xdr:row>
      <xdr:rowOff>158750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190499</xdr:rowOff>
    </xdr:from>
    <xdr:to>
      <xdr:col>11</xdr:col>
      <xdr:colOff>514350</xdr:colOff>
      <xdr:row>23</xdr:row>
      <xdr:rowOff>180974</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380999"/>
          <a:ext cx="6610350" cy="4181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12</xdr:col>
      <xdr:colOff>95250</xdr:colOff>
      <xdr:row>21</xdr:row>
      <xdr:rowOff>142875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381000"/>
          <a:ext cx="6800850" cy="37623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12</xdr:row>
      <xdr:rowOff>0</xdr:rowOff>
    </xdr:from>
    <xdr:to>
      <xdr:col>14</xdr:col>
      <xdr:colOff>171450</xdr:colOff>
      <xdr:row>35</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SI/SSAB/Community%20Statistics/Form%20Data/CHILDREN/Quarterly%20Child%20Protection/2013%20-%202014/September%202013/Analysis/September-13%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SI/SSAB/Community%20Statistics/Form%20Data/CHILDREN/Quarterly%20Child%20Protection/2013%20-%202014/September%202013/Analysis/September-13%20Tables%20-%20Revise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Table 1.1"/>
      <sheetName val="Age Bar Chart"/>
      <sheetName val="Trust CPR Trends"/>
      <sheetName val="Table 1.2"/>
      <sheetName val="Per 10,000"/>
      <sheetName val="Table 1.3"/>
      <sheetName val="Legal Status - Region"/>
      <sheetName val="Table 1.4"/>
      <sheetName val="Abuse"/>
      <sheetName val="Table 1.5"/>
      <sheetName val="Duration"/>
      <sheetName val="Table 1.6"/>
      <sheetName val="Referrals Region"/>
      <sheetName val="Referral Trends"/>
      <sheetName val="BHSCT - CPR"/>
      <sheetName val="NHSCT - CPR"/>
      <sheetName val="SEHSCT - CPR"/>
      <sheetName val="SHSCT - CPR"/>
      <sheetName val="WHSCT - CPR"/>
      <sheetName val="NI - CPR"/>
      <sheetName val="NI CPR - EO"/>
      <sheetName val="NI CPR - Religion"/>
    </sheetNames>
    <sheetDataSet>
      <sheetData sheetId="0">
        <row r="3">
          <cell r="B3" t="str">
            <v>31st March 2002</v>
          </cell>
          <cell r="C3">
            <v>1531</v>
          </cell>
        </row>
        <row r="7">
          <cell r="B7" t="str">
            <v>31st March 2003</v>
          </cell>
          <cell r="C7">
            <v>1608</v>
          </cell>
        </row>
        <row r="11">
          <cell r="B11" t="str">
            <v>31st March 2004</v>
          </cell>
          <cell r="C11">
            <v>1417</v>
          </cell>
        </row>
        <row r="15">
          <cell r="B15" t="str">
            <v>31st March 2005</v>
          </cell>
          <cell r="C15">
            <v>1593</v>
          </cell>
        </row>
        <row r="19">
          <cell r="B19" t="str">
            <v>31st March 2006</v>
          </cell>
          <cell r="C19">
            <v>1639</v>
          </cell>
        </row>
        <row r="23">
          <cell r="B23" t="str">
            <v>31st March 2007</v>
          </cell>
          <cell r="C23">
            <v>1805</v>
          </cell>
        </row>
        <row r="27">
          <cell r="B27" t="str">
            <v>31st March 2008</v>
          </cell>
          <cell r="C27">
            <v>2071</v>
          </cell>
        </row>
        <row r="31">
          <cell r="B31" t="str">
            <v>31st March 2009</v>
          </cell>
          <cell r="C31">
            <v>2488</v>
          </cell>
        </row>
        <row r="35">
          <cell r="B35" t="str">
            <v>31st March 2010</v>
          </cell>
          <cell r="C35">
            <v>2357</v>
          </cell>
        </row>
        <row r="36">
          <cell r="B36" t="str">
            <v>30th June 2010</v>
          </cell>
          <cell r="C36">
            <v>2427</v>
          </cell>
        </row>
        <row r="37">
          <cell r="B37" t="str">
            <v>30th September 2010</v>
          </cell>
          <cell r="C37">
            <v>2533</v>
          </cell>
        </row>
        <row r="38">
          <cell r="B38" t="str">
            <v>31st December 2010</v>
          </cell>
          <cell r="C38">
            <v>2378</v>
          </cell>
        </row>
        <row r="39">
          <cell r="B39" t="str">
            <v>31st March 2011</v>
          </cell>
          <cell r="C39">
            <v>2401</v>
          </cell>
        </row>
        <row r="40">
          <cell r="B40" t="str">
            <v>30th June 2011</v>
          </cell>
          <cell r="C40">
            <v>2215</v>
          </cell>
        </row>
        <row r="41">
          <cell r="B41" t="str">
            <v>30th September 2011</v>
          </cell>
          <cell r="C41">
            <v>2220</v>
          </cell>
        </row>
        <row r="42">
          <cell r="B42" t="str">
            <v>31st December 2011</v>
          </cell>
          <cell r="C42">
            <v>2173</v>
          </cell>
        </row>
        <row r="43">
          <cell r="B43" t="str">
            <v>31st March 2012</v>
          </cell>
          <cell r="C43">
            <v>2127</v>
          </cell>
        </row>
        <row r="44">
          <cell r="B44" t="str">
            <v>30th June 2012</v>
          </cell>
          <cell r="C44">
            <v>1985</v>
          </cell>
        </row>
        <row r="45">
          <cell r="B45" t="str">
            <v>30th September 2012</v>
          </cell>
          <cell r="C45">
            <v>2040</v>
          </cell>
        </row>
        <row r="46">
          <cell r="B46" t="str">
            <v>31st December 2012</v>
          </cell>
          <cell r="C46">
            <v>2009</v>
          </cell>
        </row>
        <row r="47">
          <cell r="B47" t="str">
            <v>31st March 2013</v>
          </cell>
          <cell r="C47">
            <v>1961</v>
          </cell>
        </row>
        <row r="48">
          <cell r="B48" t="str">
            <v>30th June 2013</v>
          </cell>
          <cell r="C48">
            <v>1790</v>
          </cell>
        </row>
        <row r="49">
          <cell r="B49" t="str">
            <v>30th September 2013</v>
          </cell>
          <cell r="C49">
            <v>1934</v>
          </cell>
        </row>
      </sheetData>
      <sheetData sheetId="1"/>
      <sheetData sheetId="2">
        <row r="4">
          <cell r="C4" t="str">
            <v>Under 1</v>
          </cell>
          <cell r="D4" t="str">
            <v>1 - 4</v>
          </cell>
          <cell r="E4" t="str">
            <v>5 - 11</v>
          </cell>
          <cell r="F4" t="str">
            <v>12 - 15</v>
          </cell>
          <cell r="G4" t="str">
            <v>16 &amp; Over</v>
          </cell>
        </row>
        <row r="5">
          <cell r="B5" t="str">
            <v>Belfast HSC Trust</v>
          </cell>
          <cell r="L5">
            <v>0.13436692506459949</v>
          </cell>
          <cell r="M5">
            <v>0.31007751937984496</v>
          </cell>
          <cell r="N5">
            <v>0.34625322997416019</v>
          </cell>
          <cell r="O5">
            <v>0.1834625322997416</v>
          </cell>
          <cell r="P5">
            <v>2.5839793281653745E-2</v>
          </cell>
        </row>
        <row r="6">
          <cell r="B6" t="str">
            <v>Northern HSC Trust</v>
          </cell>
          <cell r="L6">
            <v>8.9041095890410954E-2</v>
          </cell>
          <cell r="M6">
            <v>0.29223744292237441</v>
          </cell>
          <cell r="N6">
            <v>0.3904109589041096</v>
          </cell>
          <cell r="O6">
            <v>0.18721461187214611</v>
          </cell>
          <cell r="P6">
            <v>4.1095890410958902E-2</v>
          </cell>
        </row>
        <row r="7">
          <cell r="B7" t="str">
            <v>South Eastern HSC Trust</v>
          </cell>
          <cell r="L7">
            <v>9.5238095238095233E-2</v>
          </cell>
          <cell r="M7">
            <v>0.3032581453634085</v>
          </cell>
          <cell r="N7">
            <v>0.37593984962406013</v>
          </cell>
          <cell r="O7">
            <v>0.18045112781954886</v>
          </cell>
          <cell r="P7">
            <v>4.5112781954887216E-2</v>
          </cell>
        </row>
        <row r="8">
          <cell r="B8" t="str">
            <v>Southern HSC Trust</v>
          </cell>
          <cell r="L8">
            <v>0.12972972972972974</v>
          </cell>
          <cell r="M8">
            <v>0.26756756756756755</v>
          </cell>
          <cell r="N8">
            <v>0.38648648648648648</v>
          </cell>
          <cell r="O8">
            <v>0.17027027027027028</v>
          </cell>
          <cell r="P8">
            <v>4.5945945945945948E-2</v>
          </cell>
        </row>
        <row r="9">
          <cell r="B9" t="str">
            <v>Western HSC Trust</v>
          </cell>
          <cell r="L9">
            <v>0.11470588235294117</v>
          </cell>
          <cell r="M9">
            <v>0.29117647058823531</v>
          </cell>
          <cell r="N9">
            <v>0.36470588235294116</v>
          </cell>
          <cell r="O9">
            <v>0.18529411764705883</v>
          </cell>
          <cell r="P9">
            <v>4.4117647058823532E-2</v>
          </cell>
        </row>
        <row r="10">
          <cell r="B10" t="str">
            <v>Northern Ireland</v>
          </cell>
          <cell r="L10">
            <v>0.11168562564632885</v>
          </cell>
          <cell r="M10">
            <v>0.29317476732161324</v>
          </cell>
          <cell r="N10">
            <v>0.37331954498448811</v>
          </cell>
          <cell r="O10">
            <v>0.18148914167528438</v>
          </cell>
          <cell r="P10">
            <v>4.0330920372285417E-2</v>
          </cell>
        </row>
      </sheetData>
      <sheetData sheetId="3">
        <row r="2">
          <cell r="C2" t="str">
            <v>Belfast HSC Trust</v>
          </cell>
          <cell r="D2" t="str">
            <v>Northern HSC Trust</v>
          </cell>
          <cell r="E2" t="str">
            <v>South Eastern HSC Trust</v>
          </cell>
          <cell r="F2" t="str">
            <v>Southern HSC Trust</v>
          </cell>
          <cell r="G2" t="str">
            <v>Western HSC Trust</v>
          </cell>
        </row>
        <row r="4">
          <cell r="B4" t="str">
            <v>31 March 2010</v>
          </cell>
          <cell r="C4">
            <v>586</v>
          </cell>
          <cell r="D4">
            <v>372</v>
          </cell>
          <cell r="E4">
            <v>709</v>
          </cell>
          <cell r="F4">
            <v>461</v>
          </cell>
          <cell r="G4">
            <v>229</v>
          </cell>
        </row>
        <row r="5">
          <cell r="B5" t="str">
            <v>30 June 2010</v>
          </cell>
          <cell r="C5">
            <v>592</v>
          </cell>
          <cell r="D5">
            <v>409</v>
          </cell>
          <cell r="E5">
            <v>757</v>
          </cell>
          <cell r="F5">
            <v>460</v>
          </cell>
          <cell r="G5">
            <v>209</v>
          </cell>
        </row>
        <row r="6">
          <cell r="B6" t="str">
            <v>30 September 2010</v>
          </cell>
          <cell r="C6">
            <v>629</v>
          </cell>
          <cell r="D6">
            <v>430</v>
          </cell>
          <cell r="E6">
            <v>758</v>
          </cell>
          <cell r="F6">
            <v>498</v>
          </cell>
          <cell r="G6">
            <v>218</v>
          </cell>
        </row>
        <row r="7">
          <cell r="B7" t="str">
            <v>31 December 2010</v>
          </cell>
          <cell r="C7">
            <v>553</v>
          </cell>
          <cell r="D7">
            <v>418</v>
          </cell>
          <cell r="E7">
            <v>677</v>
          </cell>
          <cell r="F7">
            <v>518</v>
          </cell>
          <cell r="G7">
            <v>212</v>
          </cell>
        </row>
        <row r="8">
          <cell r="B8" t="str">
            <v>31 March 2011</v>
          </cell>
          <cell r="C8">
            <v>555</v>
          </cell>
          <cell r="D8">
            <v>452</v>
          </cell>
          <cell r="E8">
            <v>686</v>
          </cell>
          <cell r="F8">
            <v>473</v>
          </cell>
          <cell r="G8">
            <v>235</v>
          </cell>
        </row>
        <row r="9">
          <cell r="B9" t="str">
            <v>30 June 2011</v>
          </cell>
          <cell r="C9">
            <v>545</v>
          </cell>
          <cell r="D9">
            <v>407</v>
          </cell>
          <cell r="E9">
            <v>620</v>
          </cell>
          <cell r="F9">
            <v>413</v>
          </cell>
          <cell r="G9">
            <v>230</v>
          </cell>
        </row>
        <row r="10">
          <cell r="B10" t="str">
            <v>30 September 2011</v>
          </cell>
          <cell r="C10">
            <v>549</v>
          </cell>
          <cell r="D10">
            <v>393</v>
          </cell>
          <cell r="E10">
            <v>590</v>
          </cell>
          <cell r="F10">
            <v>391</v>
          </cell>
          <cell r="G10">
            <v>297</v>
          </cell>
        </row>
        <row r="11">
          <cell r="B11" t="str">
            <v>31 December 2011</v>
          </cell>
          <cell r="C11">
            <v>511</v>
          </cell>
          <cell r="D11">
            <v>424</v>
          </cell>
          <cell r="E11">
            <v>567</v>
          </cell>
          <cell r="F11">
            <v>384</v>
          </cell>
          <cell r="G11">
            <v>287</v>
          </cell>
        </row>
        <row r="12">
          <cell r="B12" t="str">
            <v>31 March 2012</v>
          </cell>
          <cell r="C12">
            <v>474</v>
          </cell>
          <cell r="D12">
            <v>458</v>
          </cell>
          <cell r="E12">
            <v>529</v>
          </cell>
          <cell r="F12">
            <v>363</v>
          </cell>
          <cell r="G12">
            <v>303</v>
          </cell>
        </row>
        <row r="13">
          <cell r="B13" t="str">
            <v>30 June 2012</v>
          </cell>
          <cell r="C13">
            <v>447</v>
          </cell>
          <cell r="D13">
            <v>474</v>
          </cell>
          <cell r="E13">
            <v>462</v>
          </cell>
          <cell r="F13">
            <v>341</v>
          </cell>
          <cell r="G13">
            <v>261</v>
          </cell>
        </row>
        <row r="14">
          <cell r="B14" t="str">
            <v>30 September 2012</v>
          </cell>
          <cell r="C14">
            <v>436</v>
          </cell>
          <cell r="D14">
            <v>534</v>
          </cell>
          <cell r="E14">
            <v>466</v>
          </cell>
          <cell r="F14">
            <v>338</v>
          </cell>
          <cell r="G14">
            <v>266</v>
          </cell>
        </row>
        <row r="15">
          <cell r="B15" t="str">
            <v>31 December 2012</v>
          </cell>
          <cell r="C15">
            <v>462</v>
          </cell>
          <cell r="D15">
            <v>560</v>
          </cell>
          <cell r="E15">
            <v>401</v>
          </cell>
          <cell r="F15">
            <v>303</v>
          </cell>
          <cell r="G15">
            <v>283</v>
          </cell>
        </row>
        <row r="16">
          <cell r="B16" t="str">
            <v>31 March 2013</v>
          </cell>
          <cell r="C16">
            <v>424</v>
          </cell>
          <cell r="D16">
            <v>525</v>
          </cell>
          <cell r="E16">
            <v>402</v>
          </cell>
          <cell r="F16">
            <v>313</v>
          </cell>
          <cell r="G16">
            <v>297</v>
          </cell>
        </row>
        <row r="17">
          <cell r="B17" t="str">
            <v>30 June 2013</v>
          </cell>
          <cell r="C17">
            <v>378</v>
          </cell>
          <cell r="D17">
            <v>436</v>
          </cell>
          <cell r="E17">
            <v>359</v>
          </cell>
          <cell r="F17">
            <v>316</v>
          </cell>
          <cell r="G17">
            <v>301</v>
          </cell>
        </row>
        <row r="18">
          <cell r="B18" t="str">
            <v>30 September 2013</v>
          </cell>
          <cell r="C18">
            <v>387</v>
          </cell>
          <cell r="D18">
            <v>438</v>
          </cell>
          <cell r="E18">
            <v>399</v>
          </cell>
          <cell r="F18">
            <v>370</v>
          </cell>
          <cell r="G18">
            <v>340</v>
          </cell>
        </row>
      </sheetData>
      <sheetData sheetId="4"/>
      <sheetData sheetId="5">
        <row r="3">
          <cell r="C3" t="str">
            <v>31st March 2010</v>
          </cell>
          <cell r="D3" t="str">
            <v xml:space="preserve">30th June 2010    </v>
          </cell>
          <cell r="E3" t="str">
            <v>30th September 2010</v>
          </cell>
          <cell r="F3" t="str">
            <v>31st December 2010</v>
          </cell>
          <cell r="G3" t="str">
            <v>31st March 2011</v>
          </cell>
          <cell r="H3" t="str">
            <v>30th June 2011</v>
          </cell>
          <cell r="I3" t="str">
            <v>30th September 2011</v>
          </cell>
          <cell r="J3" t="str">
            <v>31st December 2011</v>
          </cell>
          <cell r="K3" t="str">
            <v>31st March 2012</v>
          </cell>
          <cell r="L3" t="str">
            <v>30th June 2012</v>
          </cell>
          <cell r="M3" t="str">
            <v>30th September 2012</v>
          </cell>
          <cell r="N3" t="str">
            <v>31st December 2012</v>
          </cell>
          <cell r="O3" t="str">
            <v>31st March 2013</v>
          </cell>
          <cell r="P3" t="str">
            <v>30th June 2013</v>
          </cell>
          <cell r="Q3" t="str">
            <v>30th September 2013</v>
          </cell>
        </row>
        <row r="4">
          <cell r="B4" t="str">
            <v>Belfast HSC Trust</v>
          </cell>
          <cell r="C4">
            <v>77.908955541374169</v>
          </cell>
          <cell r="D4">
            <v>79.102084446819873</v>
          </cell>
          <cell r="E4">
            <v>84.045964724746113</v>
          </cell>
          <cell r="F4">
            <v>73.89096739711384</v>
          </cell>
          <cell r="G4">
            <v>74.158204168893647</v>
          </cell>
          <cell r="H4">
            <v>72.874602198272399</v>
          </cell>
          <cell r="I4">
            <v>73.409461663947795</v>
          </cell>
          <cell r="J4">
            <v>68.328296740031561</v>
          </cell>
          <cell r="K4">
            <v>63.380846682534163</v>
          </cell>
          <cell r="L4">
            <v>59.67160592711253</v>
          </cell>
          <cell r="M4">
            <v>58.203177145908427</v>
          </cell>
          <cell r="N4">
            <v>61.674008810572687</v>
          </cell>
          <cell r="O4">
            <v>56.601254839140303</v>
          </cell>
          <cell r="P4">
            <v>50.460552663195834</v>
          </cell>
          <cell r="Q4">
            <v>51.661994393271925</v>
          </cell>
        </row>
        <row r="5">
          <cell r="B5" t="str">
            <v>Northern HSC Trust</v>
          </cell>
          <cell r="C5">
            <v>34.230188818138316</v>
          </cell>
          <cell r="D5">
            <v>37.588111496080359</v>
          </cell>
          <cell r="E5">
            <v>39.518063431086929</v>
          </cell>
          <cell r="F5">
            <v>38.415233753940321</v>
          </cell>
          <cell r="G5">
            <v>41.539917839189059</v>
          </cell>
          <cell r="H5">
            <v>37.382662527325166</v>
          </cell>
          <cell r="I5">
            <v>36.096772415820119</v>
          </cell>
          <cell r="J5">
            <v>38.944100519867</v>
          </cell>
          <cell r="K5">
            <v>42.066976504950681</v>
          </cell>
          <cell r="L5">
            <v>43.623512521052483</v>
          </cell>
          <cell r="M5">
            <v>49.1454761313123</v>
          </cell>
          <cell r="N5">
            <v>51.538327029091541</v>
          </cell>
          <cell r="O5">
            <v>48.317181589773327</v>
          </cell>
          <cell r="P5">
            <v>40.126268901221273</v>
          </cell>
          <cell r="Q5">
            <v>40.310334354896597</v>
          </cell>
        </row>
        <row r="6">
          <cell r="B6" t="str">
            <v>South Eastern HSC Trust</v>
          </cell>
          <cell r="C6">
            <v>88.067970089185891</v>
          </cell>
          <cell r="D6">
            <v>94.044276592044127</v>
          </cell>
          <cell r="E6">
            <v>94.168509454120809</v>
          </cell>
          <cell r="F6">
            <v>84.105647625910009</v>
          </cell>
          <cell r="G6">
            <v>85.223743384600098</v>
          </cell>
          <cell r="H6">
            <v>76.937395296891481</v>
          </cell>
          <cell r="I6">
            <v>73.21461810510641</v>
          </cell>
          <cell r="J6">
            <v>70.360488924737851</v>
          </cell>
          <cell r="K6">
            <v>65.64497114847677</v>
          </cell>
          <cell r="L6">
            <v>57.191666357187955</v>
          </cell>
          <cell r="M6">
            <v>57.686832299674428</v>
          </cell>
          <cell r="N6">
            <v>49.640385734269195</v>
          </cell>
          <cell r="O6">
            <v>49.764177219890819</v>
          </cell>
          <cell r="P6">
            <v>44.441143338161204</v>
          </cell>
          <cell r="Q6">
            <v>49.392802763025962</v>
          </cell>
        </row>
        <row r="7">
          <cell r="B7" t="str">
            <v>Southern HSC Trust</v>
          </cell>
          <cell r="C7">
            <v>50.847644573861437</v>
          </cell>
          <cell r="D7">
            <v>50.352467270896277</v>
          </cell>
          <cell r="E7">
            <v>54.51201891501379</v>
          </cell>
          <cell r="F7">
            <v>56.70125662244407</v>
          </cell>
          <cell r="G7">
            <v>51.775471780725951</v>
          </cell>
          <cell r="H7">
            <v>44.779355957931259</v>
          </cell>
          <cell r="I7">
            <v>42.394014962593516</v>
          </cell>
          <cell r="J7">
            <v>41.635042827713328</v>
          </cell>
          <cell r="K7">
            <v>39.358126423072754</v>
          </cell>
          <cell r="L7">
            <v>36.666666666666664</v>
          </cell>
          <cell r="M7">
            <v>36.344086021505376</v>
          </cell>
          <cell r="N7">
            <v>32.58064516129032</v>
          </cell>
          <cell r="O7">
            <v>33.655913978494624</v>
          </cell>
          <cell r="P7">
            <v>33.978494623655912</v>
          </cell>
          <cell r="Q7">
            <v>39.784946236559144</v>
          </cell>
        </row>
        <row r="8">
          <cell r="B8" t="str">
            <v>Western HSC Trust</v>
          </cell>
          <cell r="C8">
            <v>30.537812212457826</v>
          </cell>
          <cell r="D8">
            <v>27.960988400872274</v>
          </cell>
          <cell r="E8">
            <v>29.165050102345244</v>
          </cell>
          <cell r="F8">
            <v>28.362342301363267</v>
          </cell>
          <cell r="G8">
            <v>31.439388871794186</v>
          </cell>
          <cell r="H8">
            <v>30.88782348280354</v>
          </cell>
          <cell r="I8">
            <v>39.885580758228919</v>
          </cell>
          <cell r="J8">
            <v>38.542631911150508</v>
          </cell>
          <cell r="K8">
            <v>40.69135006647597</v>
          </cell>
          <cell r="L8">
            <v>35.16288093121009</v>
          </cell>
          <cell r="M8">
            <v>35.836499339853958</v>
          </cell>
          <cell r="N8">
            <v>38.126801929243122</v>
          </cell>
          <cell r="O8">
            <v>40.012933473445962</v>
          </cell>
          <cell r="P8">
            <v>40.551828200361058</v>
          </cell>
          <cell r="Q8">
            <v>45.806051787783254</v>
          </cell>
        </row>
        <row r="9">
          <cell r="B9" t="str">
            <v>Northern Ireland</v>
          </cell>
          <cell r="C9">
            <v>54.807580513893733</v>
          </cell>
          <cell r="D9">
            <v>56.40932671389524</v>
          </cell>
          <cell r="E9">
            <v>58.87302207099161</v>
          </cell>
          <cell r="F9">
            <v>55.270448671463903</v>
          </cell>
          <cell r="G9">
            <v>55.805024079135755</v>
          </cell>
          <cell r="H9">
            <v>51.399505265258576</v>
          </cell>
          <cell r="I9">
            <v>51.515531236511983</v>
          </cell>
          <cell r="J9">
            <v>50.424887106729976</v>
          </cell>
          <cell r="K9">
            <v>49.357448171198634</v>
          </cell>
          <cell r="L9">
            <v>45.994429692242811</v>
          </cell>
          <cell r="M9">
            <v>47.268834545176496</v>
          </cell>
          <cell r="N9">
            <v>46.550533628068422</v>
          </cell>
          <cell r="O9">
            <v>45.438325756417214</v>
          </cell>
          <cell r="P9">
            <v>41.476085213659772</v>
          </cell>
          <cell r="Q9">
            <v>44.812708828613403</v>
          </cell>
        </row>
      </sheetData>
      <sheetData sheetId="6"/>
      <sheetData sheetId="7">
        <row r="18">
          <cell r="I18" t="str">
            <v>Accommodated (Article 21)</v>
          </cell>
          <cell r="J18" t="str">
            <v>Interim Care Order (Article 57)</v>
          </cell>
          <cell r="K18" t="str">
            <v>Care Order (Article 50 or 59)</v>
          </cell>
          <cell r="L18" t="str">
            <v>Other</v>
          </cell>
          <cell r="M18" t="str">
            <v>None</v>
          </cell>
        </row>
        <row r="19">
          <cell r="A19" t="str">
            <v>31 March 2010</v>
          </cell>
          <cell r="I19">
            <v>0.10969927996611606</v>
          </cell>
          <cell r="J19">
            <v>4.7437526471833968E-2</v>
          </cell>
          <cell r="K19">
            <v>2.0753917831427361E-2</v>
          </cell>
          <cell r="L19">
            <v>1.5671325709445152E-2</v>
          </cell>
          <cell r="M19">
            <v>0.80643795002117746</v>
          </cell>
        </row>
        <row r="20">
          <cell r="A20" t="str">
            <v>30 June 2010</v>
          </cell>
          <cell r="I20">
            <v>0.10474226804123711</v>
          </cell>
          <cell r="J20">
            <v>3.9587628865979378E-2</v>
          </cell>
          <cell r="K20">
            <v>2.2268041237113401E-2</v>
          </cell>
          <cell r="L20">
            <v>1.4020618556701031E-2</v>
          </cell>
          <cell r="M20">
            <v>0.81938144329896911</v>
          </cell>
        </row>
        <row r="21">
          <cell r="A21" t="str">
            <v>30 September 2010</v>
          </cell>
          <cell r="I21">
            <v>6.9877615475720495E-2</v>
          </cell>
          <cell r="J21">
            <v>3.750493485984998E-2</v>
          </cell>
          <cell r="K21">
            <v>2.4476904855902093E-2</v>
          </cell>
          <cell r="L21">
            <v>1.5791551519936834E-2</v>
          </cell>
          <cell r="M21">
            <v>0.8523489932885906</v>
          </cell>
        </row>
        <row r="22">
          <cell r="A22" t="str">
            <v>31 December 2010</v>
          </cell>
          <cell r="I22">
            <v>5.7611438183347352E-2</v>
          </cell>
          <cell r="J22">
            <v>2.9015979814970564E-2</v>
          </cell>
          <cell r="K22">
            <v>1.3036164844407064E-2</v>
          </cell>
          <cell r="L22">
            <v>1.59798149705635E-2</v>
          </cell>
          <cell r="M22">
            <v>0.88435660218671153</v>
          </cell>
        </row>
        <row r="23">
          <cell r="A23" t="str">
            <v>31 March 2011</v>
          </cell>
          <cell r="I23">
            <v>6.2057476051645147E-2</v>
          </cell>
          <cell r="J23">
            <v>3.4568929612661392E-2</v>
          </cell>
          <cell r="K23">
            <v>9.1628488129945861E-3</v>
          </cell>
          <cell r="L23">
            <v>6.2473969179508539E-3</v>
          </cell>
          <cell r="M23">
            <v>0.88796334860474802</v>
          </cell>
        </row>
        <row r="24">
          <cell r="A24" t="str">
            <v>30 June 2011</v>
          </cell>
          <cell r="I24">
            <v>5.3273137697516931E-2</v>
          </cell>
          <cell r="J24">
            <v>3.0699774266365689E-2</v>
          </cell>
          <cell r="K24">
            <v>4.9661399548532733E-3</v>
          </cell>
          <cell r="L24">
            <v>7.6749435665914223E-3</v>
          </cell>
          <cell r="M24">
            <v>0.90338600451467266</v>
          </cell>
        </row>
        <row r="25">
          <cell r="A25" t="str">
            <v>30 September 2011</v>
          </cell>
          <cell r="I25">
            <v>4.8648648648648651E-2</v>
          </cell>
          <cell r="J25">
            <v>3.4684684684684684E-2</v>
          </cell>
          <cell r="K25">
            <v>5.4054054054054057E-3</v>
          </cell>
          <cell r="L25">
            <v>1.036036036036036E-2</v>
          </cell>
          <cell r="M25">
            <v>0.90090090090090091</v>
          </cell>
        </row>
        <row r="26">
          <cell r="A26" t="str">
            <v>31 December 2011</v>
          </cell>
          <cell r="I26">
            <v>4.5559134836631383E-2</v>
          </cell>
          <cell r="J26">
            <v>4.1877588587206624E-2</v>
          </cell>
          <cell r="K26">
            <v>6.9028992176714222E-3</v>
          </cell>
          <cell r="L26">
            <v>1.1504832029452371E-2</v>
          </cell>
          <cell r="M26">
            <v>0.89415554532903818</v>
          </cell>
        </row>
        <row r="27">
          <cell r="A27" t="str">
            <v>31 March 2012</v>
          </cell>
          <cell r="I27">
            <v>4.748472026328162E-2</v>
          </cell>
          <cell r="J27">
            <v>4.0432534085566525E-2</v>
          </cell>
          <cell r="K27">
            <v>7.5223319228960974E-3</v>
          </cell>
          <cell r="L27">
            <v>9.8730606488011286E-3</v>
          </cell>
          <cell r="M27">
            <v>0.89468735307945468</v>
          </cell>
        </row>
        <row r="28">
          <cell r="A28" t="str">
            <v>30 June 2012</v>
          </cell>
          <cell r="I28">
            <v>3.5768261964735516E-2</v>
          </cell>
          <cell r="J28">
            <v>2.9722921914357683E-2</v>
          </cell>
          <cell r="K28">
            <v>1.057934508816121E-2</v>
          </cell>
          <cell r="L28">
            <v>1.1083123425692695E-2</v>
          </cell>
          <cell r="M28">
            <v>0.91284634760705285</v>
          </cell>
        </row>
        <row r="29">
          <cell r="A29" t="str">
            <v>30 September 2012</v>
          </cell>
          <cell r="I29">
            <v>4.4607843137254903E-2</v>
          </cell>
          <cell r="J29">
            <v>3.6764705882352942E-2</v>
          </cell>
          <cell r="K29">
            <v>7.3529411764705881E-3</v>
          </cell>
          <cell r="L29">
            <v>1.3725490196078431E-2</v>
          </cell>
          <cell r="M29">
            <v>0.89754901960784317</v>
          </cell>
        </row>
        <row r="30">
          <cell r="A30" t="str">
            <v>31 December 2012</v>
          </cell>
          <cell r="I30">
            <v>4.3802887008461924E-2</v>
          </cell>
          <cell r="J30">
            <v>3.9820806371329016E-2</v>
          </cell>
          <cell r="K30">
            <v>4.4798407167745144E-3</v>
          </cell>
          <cell r="L30">
            <v>1.642608262817322E-2</v>
          </cell>
          <cell r="M30">
            <v>0.89547038327526129</v>
          </cell>
        </row>
        <row r="31">
          <cell r="A31" t="str">
            <v>31 March 2013</v>
          </cell>
          <cell r="I31">
            <v>4.7934727180010198E-2</v>
          </cell>
          <cell r="J31">
            <v>3.8755736868944415E-2</v>
          </cell>
          <cell r="K31">
            <v>3.5696073431922487E-3</v>
          </cell>
          <cell r="L31">
            <v>2.0397756246812851E-2</v>
          </cell>
          <cell r="M31">
            <v>0.8893421723610403</v>
          </cell>
        </row>
        <row r="32">
          <cell r="A32" t="str">
            <v>30 June 2013</v>
          </cell>
          <cell r="I32">
            <v>4.5251396648044694E-2</v>
          </cell>
          <cell r="J32">
            <v>3.4636871508379886E-2</v>
          </cell>
          <cell r="K32">
            <v>1.6759776536312849E-3</v>
          </cell>
          <cell r="L32">
            <v>2.2905027932960894E-2</v>
          </cell>
          <cell r="M32">
            <v>0.89553072625698327</v>
          </cell>
        </row>
        <row r="33">
          <cell r="A33" t="str">
            <v>30 September 2013</v>
          </cell>
          <cell r="I33">
            <v>4.5501551189245086E-2</v>
          </cell>
          <cell r="J33">
            <v>4.2399172699069287E-2</v>
          </cell>
          <cell r="K33">
            <v>8.790072388831437E-3</v>
          </cell>
          <cell r="L33">
            <v>2.2233712512926575E-2</v>
          </cell>
          <cell r="M33">
            <v>0.88107549120992756</v>
          </cell>
        </row>
      </sheetData>
      <sheetData sheetId="8"/>
      <sheetData sheetId="9">
        <row r="9">
          <cell r="E9" t="str">
            <v>Mixed Categories</v>
          </cell>
          <cell r="F9" t="str">
            <v>Neglect Only</v>
          </cell>
          <cell r="G9" t="str">
            <v>Physical Abuse Only</v>
          </cell>
          <cell r="H9" t="str">
            <v>Sexual Abuse Only</v>
          </cell>
          <cell r="I9" t="str">
            <v>Emotional Abuse Only</v>
          </cell>
        </row>
        <row r="17">
          <cell r="D17" t="str">
            <v>Belfast HSC Trust</v>
          </cell>
          <cell r="E17">
            <v>0.25839793281653745</v>
          </cell>
          <cell r="F17">
            <v>0.34883720930232559</v>
          </cell>
          <cell r="G17">
            <v>0.2868217054263566</v>
          </cell>
          <cell r="H17">
            <v>4.909560723514212E-2</v>
          </cell>
          <cell r="I17">
            <v>5.6847545219638244E-2</v>
          </cell>
        </row>
        <row r="18">
          <cell r="D18" t="str">
            <v>Northern HSC Trust</v>
          </cell>
          <cell r="E18">
            <v>0.21689497716894976</v>
          </cell>
          <cell r="F18">
            <v>0.30365296803652969</v>
          </cell>
          <cell r="G18">
            <v>0.23515981735159816</v>
          </cell>
          <cell r="H18">
            <v>0.11643835616438356</v>
          </cell>
          <cell r="I18">
            <v>0.12785388127853881</v>
          </cell>
        </row>
        <row r="19">
          <cell r="D19" t="str">
            <v xml:space="preserve">South Eastern HSC Trust </v>
          </cell>
          <cell r="E19">
            <v>0.3007518796992481</v>
          </cell>
          <cell r="F19">
            <v>0.32581453634085211</v>
          </cell>
          <cell r="G19">
            <v>0.22556390977443608</v>
          </cell>
          <cell r="H19">
            <v>4.0100250626566414E-2</v>
          </cell>
          <cell r="I19">
            <v>0.10776942355889724</v>
          </cell>
        </row>
        <row r="20">
          <cell r="D20" t="str">
            <v>Southern HSC Trust</v>
          </cell>
          <cell r="E20">
            <v>0.21351351351351353</v>
          </cell>
          <cell r="F20">
            <v>0.25945945945945947</v>
          </cell>
          <cell r="G20">
            <v>0.36486486486486486</v>
          </cell>
          <cell r="H20">
            <v>9.1891891891891897E-2</v>
          </cell>
          <cell r="I20">
            <v>7.0270270270270274E-2</v>
          </cell>
        </row>
        <row r="21">
          <cell r="D21" t="str">
            <v>Western HSC Trust</v>
          </cell>
          <cell r="E21">
            <v>0.17647058823529413</v>
          </cell>
          <cell r="F21">
            <v>0.21764705882352942</v>
          </cell>
          <cell r="G21">
            <v>0.37352941176470589</v>
          </cell>
          <cell r="H21">
            <v>5.5882352941176473E-2</v>
          </cell>
          <cell r="I21">
            <v>0.17647058823529413</v>
          </cell>
        </row>
        <row r="22">
          <cell r="D22" t="str">
            <v>Northern Ireland</v>
          </cell>
          <cell r="E22">
            <v>0.23474663908996898</v>
          </cell>
          <cell r="F22">
            <v>0.29369183040330921</v>
          </cell>
          <cell r="G22">
            <v>0.29265770423991727</v>
          </cell>
          <cell r="H22">
            <v>7.1871768355739399E-2</v>
          </cell>
          <cell r="I22">
            <v>0.10703205791106515</v>
          </cell>
        </row>
      </sheetData>
      <sheetData sheetId="10"/>
      <sheetData sheetId="11">
        <row r="2">
          <cell r="B2" t="str">
            <v>&lt; 3 Months</v>
          </cell>
          <cell r="C2" t="str">
            <v>3 Months &lt; 6 Months</v>
          </cell>
          <cell r="D2" t="str">
            <v>6 Months &lt; 1 Year</v>
          </cell>
          <cell r="E2" t="str">
            <v>1 Year &lt; 2 Years</v>
          </cell>
          <cell r="F2" t="str">
            <v>2 Years &lt; 3 Years</v>
          </cell>
          <cell r="G2" t="str">
            <v>3 + Years</v>
          </cell>
        </row>
        <row r="9">
          <cell r="A9" t="str">
            <v>Belfast HSC Trust</v>
          </cell>
          <cell r="B9">
            <v>0.1834625322997416</v>
          </cell>
          <cell r="C9">
            <v>0.19121447028423771</v>
          </cell>
          <cell r="D9">
            <v>0.31266149870801035</v>
          </cell>
          <cell r="E9">
            <v>0.23255813953488372</v>
          </cell>
          <cell r="F9">
            <v>4.909560723514212E-2</v>
          </cell>
          <cell r="G9">
            <v>3.1007751937984496E-2</v>
          </cell>
        </row>
        <row r="10">
          <cell r="A10" t="str">
            <v xml:space="preserve">Northern HSC Trust </v>
          </cell>
          <cell r="B10">
            <v>0.23059360730593606</v>
          </cell>
          <cell r="C10">
            <v>0.20319634703196346</v>
          </cell>
          <cell r="D10">
            <v>0.23515981735159816</v>
          </cell>
          <cell r="E10">
            <v>0.28995433789954339</v>
          </cell>
          <cell r="F10">
            <v>2.2831050228310501E-2</v>
          </cell>
          <cell r="G10">
            <v>1.8264840182648401E-2</v>
          </cell>
        </row>
        <row r="11">
          <cell r="A11" t="str">
            <v>South Eastern HSC Trust</v>
          </cell>
          <cell r="B11">
            <v>0.2781954887218045</v>
          </cell>
          <cell r="C11">
            <v>0.20551378446115287</v>
          </cell>
          <cell r="D11">
            <v>0.23809523809523808</v>
          </cell>
          <cell r="E11">
            <v>0.15288220551378445</v>
          </cell>
          <cell r="F11">
            <v>6.2656641604010022E-2</v>
          </cell>
          <cell r="G11">
            <v>6.2656641604010022E-2</v>
          </cell>
        </row>
        <row r="12">
          <cell r="A12" t="str">
            <v>Southern HSC Trust</v>
          </cell>
          <cell r="B12">
            <v>0.32432432432432434</v>
          </cell>
          <cell r="C12">
            <v>0.26216216216216215</v>
          </cell>
          <cell r="D12">
            <v>0.20810810810810812</v>
          </cell>
          <cell r="E12">
            <v>0.18108108108108109</v>
          </cell>
          <cell r="F12">
            <v>1.3513513513513514E-2</v>
          </cell>
          <cell r="G12">
            <v>1.0810810810810811E-2</v>
          </cell>
        </row>
        <row r="13">
          <cell r="A13" t="str">
            <v>Western HSC Trust</v>
          </cell>
          <cell r="B13">
            <v>0.24705882352941178</v>
          </cell>
          <cell r="C13">
            <v>0.2</v>
          </cell>
          <cell r="D13">
            <v>0.28235294117647058</v>
          </cell>
          <cell r="E13">
            <v>0.13823529411764707</v>
          </cell>
          <cell r="F13">
            <v>0.10294117647058823</v>
          </cell>
          <cell r="G13">
            <v>2.9411764705882353E-2</v>
          </cell>
        </row>
        <row r="14">
          <cell r="A14" t="str">
            <v>Northern Ireland</v>
          </cell>
          <cell r="B14">
            <v>0.25180972078593589</v>
          </cell>
          <cell r="C14">
            <v>0.21199586349534644</v>
          </cell>
          <cell r="D14">
            <v>0.25439503619441572</v>
          </cell>
          <cell r="E14">
            <v>0.20268872802481902</v>
          </cell>
          <cell r="F14">
            <v>4.8603929679420892E-2</v>
          </cell>
          <cell r="G14">
            <v>3.0506721820062047E-2</v>
          </cell>
        </row>
      </sheetData>
      <sheetData sheetId="12"/>
      <sheetData sheetId="13">
        <row r="37">
          <cell r="B37" t="str">
            <v>Police</v>
          </cell>
          <cell r="C37" t="str">
            <v xml:space="preserve">School / EWO </v>
          </cell>
          <cell r="D37" t="str">
            <v>GP/Community Nursing/Hospital</v>
          </cell>
          <cell r="E37" t="str">
            <v>Social Services</v>
          </cell>
          <cell r="F37" t="str">
            <v>Relative/Neighbour/Friend</v>
          </cell>
          <cell r="G37" t="str">
            <v>Voluntary Organiation</v>
          </cell>
          <cell r="H37" t="str">
            <v>Self</v>
          </cell>
          <cell r="I37" t="str">
            <v>Anonymous</v>
          </cell>
          <cell r="J37" t="str">
            <v>Other</v>
          </cell>
        </row>
        <row r="38">
          <cell r="A38" t="str">
            <v>31 March 2010</v>
          </cell>
          <cell r="B38">
            <v>0.13439849624060152</v>
          </cell>
          <cell r="C38">
            <v>7.9887218045112784E-2</v>
          </cell>
          <cell r="D38">
            <v>5.6390977443609019E-2</v>
          </cell>
          <cell r="E38">
            <v>0.42857142857142855</v>
          </cell>
          <cell r="F38">
            <v>8.5526315789473673E-2</v>
          </cell>
          <cell r="G38">
            <v>1.2218045112781954E-2</v>
          </cell>
          <cell r="H38">
            <v>4.6992481203007516E-3</v>
          </cell>
          <cell r="I38">
            <v>3.8533834586466163E-2</v>
          </cell>
          <cell r="J38">
            <v>0.15977443609022557</v>
          </cell>
        </row>
        <row r="39">
          <cell r="A39" t="str">
            <v>30 June 2010</v>
          </cell>
          <cell r="B39">
            <v>9.7440132122213044E-2</v>
          </cell>
          <cell r="C39">
            <v>7.8447563996696945E-2</v>
          </cell>
          <cell r="D39">
            <v>7.1841453344343525E-2</v>
          </cell>
          <cell r="E39">
            <v>0.40545004128819156</v>
          </cell>
          <cell r="F39">
            <v>6.028075970272502E-2</v>
          </cell>
          <cell r="G39">
            <v>8.2576383154417832E-3</v>
          </cell>
          <cell r="H39">
            <v>1.8992568125516102E-2</v>
          </cell>
          <cell r="I39">
            <v>5.9454995871180839E-2</v>
          </cell>
          <cell r="J39">
            <v>0.19983484723369116</v>
          </cell>
        </row>
        <row r="40">
          <cell r="A40" t="str">
            <v>30 September 2010</v>
          </cell>
          <cell r="B40">
            <v>0.14471243042671614</v>
          </cell>
          <cell r="C40">
            <v>3.0612244897959183E-2</v>
          </cell>
          <cell r="D40">
            <v>8.3487940630797772E-2</v>
          </cell>
          <cell r="E40">
            <v>0.39610389610389612</v>
          </cell>
          <cell r="F40">
            <v>8.4415584415584416E-2</v>
          </cell>
          <cell r="G40">
            <v>1.7625231910946195E-2</v>
          </cell>
          <cell r="H40">
            <v>1.5769944341372914E-2</v>
          </cell>
          <cell r="I40">
            <v>4.9165120593692019E-2</v>
          </cell>
          <cell r="J40">
            <v>0.17810760667903525</v>
          </cell>
        </row>
        <row r="41">
          <cell r="A41" t="str">
            <v>31 December 2010</v>
          </cell>
          <cell r="B41">
            <v>0.11121495327102804</v>
          </cell>
          <cell r="C41">
            <v>0.10093457943925234</v>
          </cell>
          <cell r="D41">
            <v>6.4485981308411211E-2</v>
          </cell>
          <cell r="E41">
            <v>0.47102803738317756</v>
          </cell>
          <cell r="F41">
            <v>7.1028037383177575E-2</v>
          </cell>
          <cell r="G41">
            <v>1.3084112149532711E-2</v>
          </cell>
          <cell r="H41">
            <v>1.0280373831775701E-2</v>
          </cell>
          <cell r="I41">
            <v>4.8598130841121495E-2</v>
          </cell>
          <cell r="J41">
            <v>0.10934579439252337</v>
          </cell>
        </row>
        <row r="42">
          <cell r="A42" t="str">
            <v>31 March 2011</v>
          </cell>
          <cell r="B42">
            <v>0.14319433516915814</v>
          </cell>
          <cell r="C42">
            <v>0.13768686073957515</v>
          </cell>
          <cell r="D42">
            <v>7.0810385523210076E-2</v>
          </cell>
          <cell r="E42">
            <v>0.43745082612116443</v>
          </cell>
          <cell r="F42">
            <v>5.5861526357199057E-2</v>
          </cell>
          <cell r="G42">
            <v>8.6546026750590095E-3</v>
          </cell>
          <cell r="H42">
            <v>1.1801730920535013E-2</v>
          </cell>
          <cell r="I42">
            <v>3.3831628638867031E-2</v>
          </cell>
          <cell r="J42">
            <v>0.1007081038552321</v>
          </cell>
        </row>
        <row r="43">
          <cell r="A43" t="str">
            <v>30 June 2011</v>
          </cell>
          <cell r="B43">
            <v>0.14165261382799327</v>
          </cell>
          <cell r="C43">
            <v>0.10370994940978077</v>
          </cell>
          <cell r="D43">
            <v>6.6610455311973016E-2</v>
          </cell>
          <cell r="E43">
            <v>0.4451939291736931</v>
          </cell>
          <cell r="F43">
            <v>5.1433389544688027E-2</v>
          </cell>
          <cell r="G43">
            <v>1.1804384485666104E-2</v>
          </cell>
          <cell r="H43">
            <v>1.0118043844856661E-2</v>
          </cell>
          <cell r="I43">
            <v>3.3726812816188868E-2</v>
          </cell>
          <cell r="J43">
            <v>0.13575042158516021</v>
          </cell>
        </row>
        <row r="44">
          <cell r="A44" t="str">
            <v>30 September 2011</v>
          </cell>
          <cell r="B44">
            <v>0.17145505097312327</v>
          </cell>
          <cell r="C44">
            <v>6.1167747914735865E-2</v>
          </cell>
          <cell r="D44">
            <v>7.5069508804448556E-2</v>
          </cell>
          <cell r="E44">
            <v>0.43466172381835033</v>
          </cell>
          <cell r="F44">
            <v>6.7655236329935128E-2</v>
          </cell>
          <cell r="G44">
            <v>1.4828544949026877E-2</v>
          </cell>
          <cell r="H44">
            <v>1.2048192771084338E-2</v>
          </cell>
          <cell r="I44">
            <v>4.5412418906394809E-2</v>
          </cell>
          <cell r="J44">
            <v>0.11770157553290084</v>
          </cell>
        </row>
        <row r="45">
          <cell r="A45" t="str">
            <v>31 December 2011</v>
          </cell>
          <cell r="B45">
            <v>0.16213592233009708</v>
          </cell>
          <cell r="C45">
            <v>9.9029126213592236E-2</v>
          </cell>
          <cell r="D45">
            <v>6.5048543689320393E-2</v>
          </cell>
          <cell r="E45">
            <v>0.46699029126213593</v>
          </cell>
          <cell r="F45">
            <v>5.7281553398058252E-2</v>
          </cell>
          <cell r="G45">
            <v>2.524271844660194E-2</v>
          </cell>
          <cell r="H45">
            <v>2.0388349514563107E-2</v>
          </cell>
          <cell r="I45">
            <v>2.524271844660194E-2</v>
          </cell>
          <cell r="J45">
            <v>7.8640776699029122E-2</v>
          </cell>
        </row>
        <row r="46">
          <cell r="A46" t="str">
            <v>31 March 2012</v>
          </cell>
          <cell r="B46">
            <v>0.13303964757709252</v>
          </cell>
          <cell r="C46">
            <v>0.10748898678414097</v>
          </cell>
          <cell r="D46">
            <v>4.933920704845815E-2</v>
          </cell>
          <cell r="E46">
            <v>0.47488986784140969</v>
          </cell>
          <cell r="F46">
            <v>4.933920704845815E-2</v>
          </cell>
          <cell r="G46">
            <v>1.5859030837004406E-2</v>
          </cell>
          <cell r="H46">
            <v>1.7621145374449341E-2</v>
          </cell>
          <cell r="I46">
            <v>1.9383259911894272E-2</v>
          </cell>
          <cell r="J46">
            <v>0.13303964757709252</v>
          </cell>
        </row>
        <row r="47">
          <cell r="A47" t="str">
            <v>30 June 2012</v>
          </cell>
          <cell r="B47">
            <v>0.12569832402234637</v>
          </cell>
          <cell r="C47">
            <v>8.2867783985102417E-2</v>
          </cell>
          <cell r="D47">
            <v>5.9590316573556797E-2</v>
          </cell>
          <cell r="E47">
            <v>0.54003724394785846</v>
          </cell>
          <cell r="F47">
            <v>4.9348230912476719E-2</v>
          </cell>
          <cell r="G47">
            <v>9.3109869646182501E-3</v>
          </cell>
          <cell r="H47">
            <v>9.3109869646182501E-3</v>
          </cell>
          <cell r="I47">
            <v>2.4208566108007448E-2</v>
          </cell>
          <cell r="J47">
            <v>9.9627560521415276E-2</v>
          </cell>
        </row>
        <row r="48">
          <cell r="A48" t="str">
            <v>30 September 2012</v>
          </cell>
          <cell r="B48">
            <v>0.22199170124481327</v>
          </cell>
          <cell r="C48">
            <v>3.3195020746887967E-2</v>
          </cell>
          <cell r="D48">
            <v>6.8464730290456438E-2</v>
          </cell>
          <cell r="E48">
            <v>0.4408713692946058</v>
          </cell>
          <cell r="F48">
            <v>6.5352697095435688E-2</v>
          </cell>
          <cell r="G48">
            <v>1.0373443983402489E-2</v>
          </cell>
          <cell r="H48">
            <v>1.7634854771784232E-2</v>
          </cell>
          <cell r="I48">
            <v>2.9045643153526972E-2</v>
          </cell>
          <cell r="J48">
            <v>0.11307053941908714</v>
          </cell>
        </row>
        <row r="49">
          <cell r="A49" t="str">
            <v>31 December 2012</v>
          </cell>
          <cell r="B49">
            <v>0.19314079422382671</v>
          </cell>
          <cell r="C49">
            <v>9.2057761732851989E-2</v>
          </cell>
          <cell r="D49">
            <v>5.9566787003610108E-2</v>
          </cell>
          <cell r="E49">
            <v>0.45577617328519854</v>
          </cell>
          <cell r="F49">
            <v>5.6859205776173288E-2</v>
          </cell>
          <cell r="G49">
            <v>6.3176895306859202E-3</v>
          </cell>
          <cell r="H49">
            <v>1.9855595667870037E-2</v>
          </cell>
          <cell r="I49">
            <v>1.9855595667870037E-2</v>
          </cell>
          <cell r="J49">
            <v>9.6570397111913356E-2</v>
          </cell>
        </row>
        <row r="50">
          <cell r="A50" t="str">
            <v>31 March 2013</v>
          </cell>
          <cell r="B50">
            <v>0.15633937082936131</v>
          </cell>
          <cell r="C50">
            <v>0.111534795042898</v>
          </cell>
          <cell r="D50">
            <v>8.4842707340324119E-2</v>
          </cell>
          <cell r="E50">
            <v>0.44613918017159199</v>
          </cell>
          <cell r="F50">
            <v>5.8150619637750242E-2</v>
          </cell>
          <cell r="G50">
            <v>1.9065776930409914E-3</v>
          </cell>
          <cell r="H50">
            <v>1.0486177311725452E-2</v>
          </cell>
          <cell r="I50">
            <v>1.9065776930409915E-2</v>
          </cell>
          <cell r="J50">
            <v>0.111534795042898</v>
          </cell>
        </row>
        <row r="51">
          <cell r="A51" t="str">
            <v>30 June 2013</v>
          </cell>
          <cell r="B51">
            <v>0.14184397163120568</v>
          </cell>
          <cell r="C51">
            <v>0.10549645390070922</v>
          </cell>
          <cell r="D51">
            <v>7.9787234042553196E-2</v>
          </cell>
          <cell r="E51">
            <v>0.45390070921985815</v>
          </cell>
          <cell r="F51">
            <v>3.8120567375886524E-2</v>
          </cell>
          <cell r="G51">
            <v>2.1276595744680851E-2</v>
          </cell>
          <cell r="H51">
            <v>1.6843971631205674E-2</v>
          </cell>
          <cell r="I51">
            <v>3.1914893617021274E-2</v>
          </cell>
          <cell r="J51">
            <v>0.11081560283687943</v>
          </cell>
        </row>
        <row r="52">
          <cell r="A52" t="str">
            <v>30 September 2013</v>
          </cell>
          <cell r="B52">
            <v>0.12593383137673425</v>
          </cell>
          <cell r="C52">
            <v>3.5218783351120594E-2</v>
          </cell>
          <cell r="D52">
            <v>4.5891141942369262E-2</v>
          </cell>
          <cell r="E52">
            <v>0.54535752401280679</v>
          </cell>
          <cell r="F52">
            <v>6.1899679829242264E-2</v>
          </cell>
          <cell r="G52">
            <v>6.4034151547491995E-3</v>
          </cell>
          <cell r="H52">
            <v>7.470651013874066E-3</v>
          </cell>
          <cell r="I52">
            <v>5.2294557097118465E-2</v>
          </cell>
          <cell r="J52">
            <v>0.11953041622198506</v>
          </cell>
        </row>
      </sheetData>
      <sheetData sheetId="14">
        <row r="3">
          <cell r="C3" t="str">
            <v>Belfast HSC Trust</v>
          </cell>
          <cell r="D3" t="str">
            <v>Northern HSC Trust</v>
          </cell>
          <cell r="E3" t="str">
            <v>South Eastern HSC Trust</v>
          </cell>
          <cell r="F3" t="str">
            <v>Southern HSC Trust</v>
          </cell>
          <cell r="G3" t="str">
            <v>Western HSC Trust</v>
          </cell>
        </row>
        <row r="5">
          <cell r="B5" t="str">
            <v>31 March 2010</v>
          </cell>
          <cell r="C5">
            <v>134</v>
          </cell>
          <cell r="D5">
            <v>154</v>
          </cell>
          <cell r="E5">
            <v>416</v>
          </cell>
          <cell r="F5">
            <v>278</v>
          </cell>
          <cell r="G5">
            <v>82</v>
          </cell>
          <cell r="H5">
            <v>1064</v>
          </cell>
        </row>
        <row r="6">
          <cell r="B6" t="str">
            <v>30 June 2010</v>
          </cell>
          <cell r="C6">
            <v>145</v>
          </cell>
          <cell r="D6">
            <v>131</v>
          </cell>
          <cell r="E6">
            <v>507</v>
          </cell>
          <cell r="F6">
            <v>318</v>
          </cell>
          <cell r="G6">
            <v>110</v>
          </cell>
          <cell r="H6">
            <v>1211</v>
          </cell>
        </row>
        <row r="7">
          <cell r="B7" t="str">
            <v>30 September 2010</v>
          </cell>
          <cell r="C7">
            <v>116</v>
          </cell>
          <cell r="D7">
            <v>113</v>
          </cell>
          <cell r="E7">
            <v>418</v>
          </cell>
          <cell r="F7">
            <v>340</v>
          </cell>
          <cell r="G7">
            <v>91</v>
          </cell>
          <cell r="H7">
            <v>1078</v>
          </cell>
        </row>
        <row r="8">
          <cell r="B8" t="str">
            <v>31 December 2010</v>
          </cell>
          <cell r="C8">
            <v>143</v>
          </cell>
          <cell r="D8">
            <v>100</v>
          </cell>
          <cell r="E8">
            <v>309</v>
          </cell>
          <cell r="F8">
            <v>366</v>
          </cell>
          <cell r="G8">
            <v>152</v>
          </cell>
          <cell r="H8">
            <v>1070</v>
          </cell>
        </row>
        <row r="9">
          <cell r="B9" t="str">
            <v>31 March 2011</v>
          </cell>
          <cell r="C9">
            <v>168</v>
          </cell>
          <cell r="D9">
            <v>194</v>
          </cell>
          <cell r="E9">
            <v>447</v>
          </cell>
          <cell r="F9">
            <v>347</v>
          </cell>
          <cell r="G9">
            <v>115</v>
          </cell>
          <cell r="H9">
            <v>1271</v>
          </cell>
        </row>
        <row r="10">
          <cell r="B10" t="str">
            <v>30 June 2011</v>
          </cell>
          <cell r="C10">
            <v>167</v>
          </cell>
          <cell r="D10">
            <v>141</v>
          </cell>
          <cell r="E10">
            <v>432</v>
          </cell>
          <cell r="F10">
            <v>310</v>
          </cell>
          <cell r="G10">
            <v>136</v>
          </cell>
          <cell r="H10">
            <v>1186</v>
          </cell>
        </row>
        <row r="11">
          <cell r="B11" t="str">
            <v>30 September 2011</v>
          </cell>
          <cell r="C11">
            <v>146</v>
          </cell>
          <cell r="D11">
            <v>132</v>
          </cell>
          <cell r="E11">
            <v>370</v>
          </cell>
          <cell r="F11">
            <v>293</v>
          </cell>
          <cell r="G11">
            <v>138</v>
          </cell>
          <cell r="H11">
            <v>1079</v>
          </cell>
        </row>
        <row r="12">
          <cell r="B12" t="str">
            <v>31 December 2011</v>
          </cell>
          <cell r="C12">
            <v>150</v>
          </cell>
          <cell r="D12">
            <v>181</v>
          </cell>
          <cell r="E12">
            <v>354</v>
          </cell>
          <cell r="F12">
            <v>250</v>
          </cell>
          <cell r="G12">
            <v>95</v>
          </cell>
          <cell r="H12">
            <v>1030</v>
          </cell>
        </row>
        <row r="13">
          <cell r="B13" t="str">
            <v>31 March 2012</v>
          </cell>
          <cell r="C13">
            <v>159</v>
          </cell>
          <cell r="D13">
            <v>213</v>
          </cell>
          <cell r="E13">
            <v>314</v>
          </cell>
          <cell r="F13">
            <v>325</v>
          </cell>
          <cell r="G13">
            <v>124</v>
          </cell>
          <cell r="H13">
            <v>1135</v>
          </cell>
        </row>
        <row r="14">
          <cell r="B14" t="str">
            <v>30 June 2012</v>
          </cell>
          <cell r="C14">
            <v>176</v>
          </cell>
          <cell r="D14">
            <v>224</v>
          </cell>
          <cell r="E14">
            <v>284</v>
          </cell>
          <cell r="F14">
            <v>296</v>
          </cell>
          <cell r="G14">
            <v>94</v>
          </cell>
          <cell r="H14">
            <v>1074</v>
          </cell>
        </row>
        <row r="15">
          <cell r="B15" t="str">
            <v>30 September 2012</v>
          </cell>
          <cell r="C15">
            <v>114</v>
          </cell>
          <cell r="D15">
            <v>153</v>
          </cell>
          <cell r="E15">
            <v>294</v>
          </cell>
          <cell r="F15">
            <v>272</v>
          </cell>
          <cell r="G15">
            <v>131</v>
          </cell>
          <cell r="H15">
            <v>964</v>
          </cell>
        </row>
        <row r="16">
          <cell r="B16" t="str">
            <v>31 December 2012</v>
          </cell>
          <cell r="C16">
            <v>162</v>
          </cell>
          <cell r="D16">
            <v>207</v>
          </cell>
          <cell r="E16">
            <v>279</v>
          </cell>
          <cell r="F16">
            <v>314</v>
          </cell>
          <cell r="G16">
            <v>146</v>
          </cell>
          <cell r="H16">
            <v>1108</v>
          </cell>
        </row>
        <row r="17">
          <cell r="B17" t="str">
            <v>31 March 2013</v>
          </cell>
          <cell r="C17">
            <v>123</v>
          </cell>
          <cell r="D17">
            <v>136</v>
          </cell>
          <cell r="E17">
            <v>305</v>
          </cell>
          <cell r="F17">
            <v>332</v>
          </cell>
          <cell r="G17">
            <v>153</v>
          </cell>
          <cell r="H17">
            <v>1049</v>
          </cell>
        </row>
        <row r="18">
          <cell r="B18" t="str">
            <v>30 June 2013</v>
          </cell>
          <cell r="C18">
            <v>135</v>
          </cell>
          <cell r="D18">
            <v>161</v>
          </cell>
          <cell r="E18">
            <v>300</v>
          </cell>
          <cell r="F18">
            <v>352</v>
          </cell>
          <cell r="G18">
            <v>180</v>
          </cell>
          <cell r="H18">
            <v>1128</v>
          </cell>
        </row>
        <row r="19">
          <cell r="B19" t="str">
            <v>30 September 2013</v>
          </cell>
          <cell r="C19">
            <v>101</v>
          </cell>
          <cell r="D19">
            <v>151</v>
          </cell>
          <cell r="E19">
            <v>295</v>
          </cell>
          <cell r="F19">
            <v>250</v>
          </cell>
          <cell r="G19">
            <v>140</v>
          </cell>
          <cell r="H19">
            <v>937</v>
          </cell>
        </row>
      </sheetData>
      <sheetData sheetId="15">
        <row r="3">
          <cell r="C3" t="str">
            <v>Number of Children On Child Protection Register</v>
          </cell>
          <cell r="D3" t="str">
            <v>Child Protection Referrals per Quarter</v>
          </cell>
        </row>
        <row r="4">
          <cell r="B4" t="str">
            <v>31 March 2010</v>
          </cell>
          <cell r="C4">
            <v>586</v>
          </cell>
          <cell r="D4">
            <v>134</v>
          </cell>
        </row>
        <row r="5">
          <cell r="B5" t="str">
            <v>30 June 2010</v>
          </cell>
          <cell r="C5">
            <v>592</v>
          </cell>
          <cell r="D5">
            <v>145</v>
          </cell>
        </row>
        <row r="6">
          <cell r="B6" t="str">
            <v>30 September 2010</v>
          </cell>
          <cell r="C6">
            <v>629</v>
          </cell>
          <cell r="D6">
            <v>116</v>
          </cell>
        </row>
        <row r="7">
          <cell r="B7" t="str">
            <v>31 December 2010</v>
          </cell>
          <cell r="C7">
            <v>553</v>
          </cell>
          <cell r="D7">
            <v>143</v>
          </cell>
        </row>
        <row r="8">
          <cell r="B8" t="str">
            <v>31 March 2011</v>
          </cell>
          <cell r="C8">
            <v>555</v>
          </cell>
          <cell r="D8">
            <v>168</v>
          </cell>
        </row>
        <row r="9">
          <cell r="B9" t="str">
            <v>30 June 2011</v>
          </cell>
          <cell r="C9">
            <v>545</v>
          </cell>
          <cell r="D9">
            <v>167</v>
          </cell>
        </row>
        <row r="10">
          <cell r="B10" t="str">
            <v>30 September 2011</v>
          </cell>
          <cell r="C10">
            <v>549</v>
          </cell>
          <cell r="D10">
            <v>146</v>
          </cell>
        </row>
        <row r="11">
          <cell r="B11" t="str">
            <v>31 December 2011</v>
          </cell>
          <cell r="C11">
            <v>511</v>
          </cell>
          <cell r="D11">
            <v>150</v>
          </cell>
        </row>
        <row r="12">
          <cell r="B12" t="str">
            <v>31 March 2012</v>
          </cell>
          <cell r="C12">
            <v>474</v>
          </cell>
          <cell r="D12">
            <v>159</v>
          </cell>
        </row>
        <row r="13">
          <cell r="B13" t="str">
            <v>30 June 2012</v>
          </cell>
          <cell r="C13">
            <v>447</v>
          </cell>
          <cell r="D13">
            <v>176</v>
          </cell>
        </row>
        <row r="14">
          <cell r="B14" t="str">
            <v>30 September 2012</v>
          </cell>
          <cell r="C14">
            <v>436</v>
          </cell>
          <cell r="D14">
            <v>114</v>
          </cell>
        </row>
        <row r="15">
          <cell r="B15" t="str">
            <v>31 December 2012</v>
          </cell>
          <cell r="C15">
            <v>462</v>
          </cell>
          <cell r="D15">
            <v>162</v>
          </cell>
        </row>
        <row r="16">
          <cell r="B16" t="str">
            <v>31 March 2013</v>
          </cell>
          <cell r="C16">
            <v>424</v>
          </cell>
          <cell r="D16">
            <v>123</v>
          </cell>
        </row>
        <row r="17">
          <cell r="B17" t="str">
            <v>30 June 2013</v>
          </cell>
          <cell r="C17">
            <v>378</v>
          </cell>
          <cell r="D17">
            <v>135</v>
          </cell>
        </row>
        <row r="18">
          <cell r="B18" t="str">
            <v>30 September 2013</v>
          </cell>
          <cell r="C18">
            <v>387</v>
          </cell>
          <cell r="D18">
            <v>101</v>
          </cell>
        </row>
      </sheetData>
      <sheetData sheetId="16">
        <row r="3">
          <cell r="C3" t="str">
            <v>Number of Children On Child Protection Register</v>
          </cell>
          <cell r="D3" t="str">
            <v>Child Protection Referrals per Quarter</v>
          </cell>
        </row>
        <row r="4">
          <cell r="B4" t="str">
            <v>31 March 2010</v>
          </cell>
          <cell r="C4">
            <v>372</v>
          </cell>
          <cell r="D4">
            <v>154</v>
          </cell>
        </row>
        <row r="5">
          <cell r="B5" t="str">
            <v>30 June 2010</v>
          </cell>
          <cell r="C5">
            <v>409</v>
          </cell>
          <cell r="D5">
            <v>131</v>
          </cell>
        </row>
        <row r="6">
          <cell r="B6" t="str">
            <v>30 September 2010</v>
          </cell>
          <cell r="C6">
            <v>430</v>
          </cell>
          <cell r="D6">
            <v>113</v>
          </cell>
        </row>
        <row r="7">
          <cell r="B7" t="str">
            <v>31 December 2010</v>
          </cell>
          <cell r="C7">
            <v>418</v>
          </cell>
          <cell r="D7">
            <v>100</v>
          </cell>
        </row>
        <row r="8">
          <cell r="B8" t="str">
            <v>31 March 2011</v>
          </cell>
          <cell r="C8">
            <v>452</v>
          </cell>
          <cell r="D8">
            <v>194</v>
          </cell>
        </row>
        <row r="9">
          <cell r="B9" t="str">
            <v>30 June 2011</v>
          </cell>
          <cell r="C9">
            <v>407</v>
          </cell>
          <cell r="D9">
            <v>141</v>
          </cell>
        </row>
        <row r="10">
          <cell r="B10" t="str">
            <v>30 September 2011</v>
          </cell>
          <cell r="C10">
            <v>393</v>
          </cell>
          <cell r="D10">
            <v>132</v>
          </cell>
        </row>
        <row r="11">
          <cell r="B11" t="str">
            <v>31 December 2011</v>
          </cell>
          <cell r="C11">
            <v>424</v>
          </cell>
          <cell r="D11">
            <v>181</v>
          </cell>
        </row>
        <row r="12">
          <cell r="B12" t="str">
            <v>31 March 2012</v>
          </cell>
          <cell r="C12">
            <v>458</v>
          </cell>
          <cell r="D12">
            <v>213</v>
          </cell>
        </row>
        <row r="13">
          <cell r="B13" t="str">
            <v>30 June 2012</v>
          </cell>
          <cell r="C13">
            <v>474</v>
          </cell>
          <cell r="D13">
            <v>224</v>
          </cell>
        </row>
        <row r="14">
          <cell r="B14" t="str">
            <v>30 September 2012</v>
          </cell>
          <cell r="C14">
            <v>534</v>
          </cell>
          <cell r="D14">
            <v>153</v>
          </cell>
        </row>
        <row r="15">
          <cell r="B15" t="str">
            <v>31 December 2012</v>
          </cell>
          <cell r="C15">
            <v>560</v>
          </cell>
          <cell r="D15">
            <v>207</v>
          </cell>
        </row>
        <row r="16">
          <cell r="B16" t="str">
            <v>31 March 2013</v>
          </cell>
          <cell r="C16">
            <v>525</v>
          </cell>
          <cell r="D16">
            <v>136</v>
          </cell>
        </row>
        <row r="17">
          <cell r="B17" t="str">
            <v>30 June 2013</v>
          </cell>
          <cell r="C17">
            <v>436</v>
          </cell>
          <cell r="D17">
            <v>161</v>
          </cell>
        </row>
        <row r="18">
          <cell r="B18" t="str">
            <v>30 September 2013</v>
          </cell>
          <cell r="C18">
            <v>438</v>
          </cell>
          <cell r="D18">
            <v>151</v>
          </cell>
        </row>
      </sheetData>
      <sheetData sheetId="17">
        <row r="3">
          <cell r="C3" t="str">
            <v>Number of Children On Child Protection Register</v>
          </cell>
          <cell r="D3" t="str">
            <v>Child Protection Referrals per Quarter</v>
          </cell>
        </row>
        <row r="4">
          <cell r="B4" t="str">
            <v>31 March 2010</v>
          </cell>
          <cell r="C4">
            <v>709</v>
          </cell>
          <cell r="D4">
            <v>416</v>
          </cell>
        </row>
        <row r="5">
          <cell r="B5" t="str">
            <v>30 June 2010</v>
          </cell>
          <cell r="C5">
            <v>757</v>
          </cell>
          <cell r="D5">
            <v>507</v>
          </cell>
        </row>
        <row r="6">
          <cell r="B6" t="str">
            <v>30 September 2010</v>
          </cell>
          <cell r="C6">
            <v>758</v>
          </cell>
          <cell r="D6">
            <v>418</v>
          </cell>
        </row>
        <row r="7">
          <cell r="B7" t="str">
            <v>31 December 2010</v>
          </cell>
          <cell r="C7">
            <v>677</v>
          </cell>
          <cell r="D7">
            <v>309</v>
          </cell>
        </row>
        <row r="8">
          <cell r="B8" t="str">
            <v>31 March 2011</v>
          </cell>
          <cell r="C8">
            <v>686</v>
          </cell>
          <cell r="D8">
            <v>447</v>
          </cell>
        </row>
        <row r="9">
          <cell r="B9" t="str">
            <v>30 June 2011</v>
          </cell>
          <cell r="C9">
            <v>620</v>
          </cell>
          <cell r="D9">
            <v>432</v>
          </cell>
        </row>
        <row r="10">
          <cell r="B10" t="str">
            <v>30 September 2011</v>
          </cell>
          <cell r="C10">
            <v>590</v>
          </cell>
          <cell r="D10">
            <v>370</v>
          </cell>
        </row>
        <row r="11">
          <cell r="B11" t="str">
            <v>31 December 2011</v>
          </cell>
          <cell r="C11">
            <v>567</v>
          </cell>
          <cell r="D11">
            <v>354</v>
          </cell>
        </row>
        <row r="12">
          <cell r="B12" t="str">
            <v>31 March 2012</v>
          </cell>
          <cell r="C12">
            <v>529</v>
          </cell>
          <cell r="D12">
            <v>314</v>
          </cell>
        </row>
        <row r="13">
          <cell r="B13" t="str">
            <v>30 June 2012</v>
          </cell>
          <cell r="C13">
            <v>462</v>
          </cell>
          <cell r="D13">
            <v>284</v>
          </cell>
        </row>
        <row r="14">
          <cell r="B14" t="str">
            <v>30 September 2012</v>
          </cell>
          <cell r="C14">
            <v>466</v>
          </cell>
          <cell r="D14">
            <v>294</v>
          </cell>
        </row>
        <row r="15">
          <cell r="B15" t="str">
            <v>31 December 2012</v>
          </cell>
          <cell r="C15">
            <v>401</v>
          </cell>
          <cell r="D15">
            <v>279</v>
          </cell>
        </row>
        <row r="16">
          <cell r="B16" t="str">
            <v>31 March 2013</v>
          </cell>
          <cell r="C16">
            <v>402</v>
          </cell>
          <cell r="D16">
            <v>305</v>
          </cell>
        </row>
        <row r="17">
          <cell r="B17" t="str">
            <v>30 June 2013</v>
          </cell>
          <cell r="C17">
            <v>359</v>
          </cell>
          <cell r="D17">
            <v>300</v>
          </cell>
        </row>
        <row r="18">
          <cell r="B18" t="str">
            <v>30 September 2013</v>
          </cell>
          <cell r="C18">
            <v>399</v>
          </cell>
          <cell r="D18">
            <v>295</v>
          </cell>
        </row>
      </sheetData>
      <sheetData sheetId="18">
        <row r="3">
          <cell r="C3" t="str">
            <v>Number of Children On Child Protection Register</v>
          </cell>
          <cell r="D3" t="str">
            <v>Child Protection Referrals per Quarter</v>
          </cell>
        </row>
        <row r="4">
          <cell r="B4" t="str">
            <v>31 March 2010</v>
          </cell>
          <cell r="C4">
            <v>461</v>
          </cell>
          <cell r="D4">
            <v>278</v>
          </cell>
        </row>
        <row r="5">
          <cell r="B5" t="str">
            <v>30 June 2010</v>
          </cell>
          <cell r="C5">
            <v>460</v>
          </cell>
          <cell r="D5">
            <v>318</v>
          </cell>
        </row>
        <row r="6">
          <cell r="B6" t="str">
            <v>30 September 2010</v>
          </cell>
          <cell r="C6">
            <v>498</v>
          </cell>
          <cell r="D6">
            <v>340</v>
          </cell>
        </row>
        <row r="7">
          <cell r="B7" t="str">
            <v>31 December 2010</v>
          </cell>
          <cell r="C7">
            <v>518</v>
          </cell>
          <cell r="D7">
            <v>366</v>
          </cell>
        </row>
        <row r="8">
          <cell r="B8" t="str">
            <v>31 March 2011</v>
          </cell>
          <cell r="C8">
            <v>473</v>
          </cell>
          <cell r="D8">
            <v>347</v>
          </cell>
        </row>
        <row r="9">
          <cell r="B9" t="str">
            <v>30 June 2011</v>
          </cell>
          <cell r="C9">
            <v>413</v>
          </cell>
          <cell r="D9">
            <v>310</v>
          </cell>
        </row>
        <row r="10">
          <cell r="B10" t="str">
            <v>30 September 2011</v>
          </cell>
          <cell r="C10">
            <v>391</v>
          </cell>
          <cell r="D10">
            <v>293</v>
          </cell>
        </row>
        <row r="11">
          <cell r="B11" t="str">
            <v>31 December 2011</v>
          </cell>
          <cell r="C11">
            <v>384</v>
          </cell>
          <cell r="D11">
            <v>250</v>
          </cell>
        </row>
        <row r="12">
          <cell r="B12" t="str">
            <v>31 March 2012</v>
          </cell>
          <cell r="C12">
            <v>363</v>
          </cell>
          <cell r="D12">
            <v>325</v>
          </cell>
        </row>
        <row r="13">
          <cell r="B13" t="str">
            <v>30 June 2012</v>
          </cell>
          <cell r="C13">
            <v>341</v>
          </cell>
          <cell r="D13">
            <v>296</v>
          </cell>
        </row>
        <row r="14">
          <cell r="B14" t="str">
            <v>30 September 2012</v>
          </cell>
          <cell r="C14">
            <v>338</v>
          </cell>
          <cell r="D14">
            <v>272</v>
          </cell>
        </row>
        <row r="15">
          <cell r="B15" t="str">
            <v>31 December 2012</v>
          </cell>
          <cell r="C15">
            <v>303</v>
          </cell>
          <cell r="D15">
            <v>314</v>
          </cell>
        </row>
        <row r="16">
          <cell r="B16" t="str">
            <v>31 March 2013</v>
          </cell>
          <cell r="C16">
            <v>313</v>
          </cell>
          <cell r="D16">
            <v>332</v>
          </cell>
        </row>
        <row r="17">
          <cell r="B17" t="str">
            <v>30 June 2013</v>
          </cell>
          <cell r="C17">
            <v>316</v>
          </cell>
          <cell r="D17">
            <v>352</v>
          </cell>
        </row>
        <row r="18">
          <cell r="B18" t="str">
            <v>30 September 2013</v>
          </cell>
          <cell r="C18">
            <v>370</v>
          </cell>
          <cell r="D18">
            <v>250</v>
          </cell>
        </row>
      </sheetData>
      <sheetData sheetId="19">
        <row r="3">
          <cell r="C3" t="str">
            <v>Number of Children On Child Protection Register</v>
          </cell>
          <cell r="D3" t="str">
            <v>Child Protection Referrals per Quarter</v>
          </cell>
        </row>
        <row r="4">
          <cell r="B4" t="str">
            <v>31 March 2010</v>
          </cell>
          <cell r="C4">
            <v>229</v>
          </cell>
          <cell r="D4">
            <v>82</v>
          </cell>
        </row>
        <row r="5">
          <cell r="B5" t="str">
            <v>30 June 2010</v>
          </cell>
          <cell r="C5">
            <v>209</v>
          </cell>
          <cell r="D5">
            <v>110</v>
          </cell>
        </row>
        <row r="6">
          <cell r="B6" t="str">
            <v>30 September 2010</v>
          </cell>
          <cell r="C6">
            <v>218</v>
          </cell>
          <cell r="D6">
            <v>91</v>
          </cell>
        </row>
        <row r="7">
          <cell r="B7" t="str">
            <v>31 December 2010</v>
          </cell>
          <cell r="C7">
            <v>212</v>
          </cell>
          <cell r="D7">
            <v>152</v>
          </cell>
        </row>
        <row r="8">
          <cell r="B8" t="str">
            <v>31 March 2011</v>
          </cell>
          <cell r="C8">
            <v>235</v>
          </cell>
          <cell r="D8">
            <v>115</v>
          </cell>
        </row>
        <row r="9">
          <cell r="B9" t="str">
            <v>30 June 2011</v>
          </cell>
          <cell r="C9">
            <v>230</v>
          </cell>
          <cell r="D9">
            <v>136</v>
          </cell>
        </row>
        <row r="10">
          <cell r="B10" t="str">
            <v>30 September 2011</v>
          </cell>
          <cell r="C10">
            <v>297</v>
          </cell>
          <cell r="D10">
            <v>138</v>
          </cell>
        </row>
        <row r="11">
          <cell r="B11" t="str">
            <v>31 December 2011</v>
          </cell>
          <cell r="C11">
            <v>287</v>
          </cell>
          <cell r="D11">
            <v>95</v>
          </cell>
        </row>
        <row r="12">
          <cell r="B12" t="str">
            <v>31 March 2012</v>
          </cell>
          <cell r="C12">
            <v>303</v>
          </cell>
          <cell r="D12">
            <v>124</v>
          </cell>
        </row>
        <row r="13">
          <cell r="B13" t="str">
            <v>30 June 2012</v>
          </cell>
          <cell r="C13">
            <v>261</v>
          </cell>
          <cell r="D13">
            <v>94</v>
          </cell>
        </row>
        <row r="14">
          <cell r="B14" t="str">
            <v>30 September 2012</v>
          </cell>
          <cell r="C14">
            <v>266</v>
          </cell>
          <cell r="D14">
            <v>131</v>
          </cell>
        </row>
        <row r="15">
          <cell r="B15" t="str">
            <v>31 December 2012</v>
          </cell>
          <cell r="C15">
            <v>283</v>
          </cell>
          <cell r="D15">
            <v>146</v>
          </cell>
        </row>
        <row r="16">
          <cell r="B16" t="str">
            <v>31 March 2013</v>
          </cell>
          <cell r="C16">
            <v>297</v>
          </cell>
          <cell r="D16">
            <v>153</v>
          </cell>
        </row>
        <row r="17">
          <cell r="B17" t="str">
            <v>30 June 2013</v>
          </cell>
          <cell r="C17">
            <v>301</v>
          </cell>
          <cell r="D17">
            <v>180</v>
          </cell>
        </row>
        <row r="18">
          <cell r="B18" t="str">
            <v>30 September 2013</v>
          </cell>
          <cell r="C18">
            <v>340</v>
          </cell>
          <cell r="D18">
            <v>140</v>
          </cell>
        </row>
      </sheetData>
      <sheetData sheetId="20">
        <row r="3">
          <cell r="C3" t="str">
            <v>Number of Children On Child Protection Register</v>
          </cell>
          <cell r="D3" t="str">
            <v>Child Protection Referrals per Quarter</v>
          </cell>
        </row>
        <row r="4">
          <cell r="B4" t="str">
            <v>31 March 2010</v>
          </cell>
          <cell r="C4">
            <v>2357</v>
          </cell>
          <cell r="D4">
            <v>1064</v>
          </cell>
        </row>
        <row r="5">
          <cell r="B5" t="str">
            <v>30 June 2010</v>
          </cell>
          <cell r="C5">
            <v>2427</v>
          </cell>
          <cell r="D5">
            <v>1211</v>
          </cell>
        </row>
        <row r="6">
          <cell r="B6" t="str">
            <v>30 September 2010</v>
          </cell>
          <cell r="C6">
            <v>2533</v>
          </cell>
          <cell r="D6">
            <v>1078</v>
          </cell>
        </row>
        <row r="7">
          <cell r="B7" t="str">
            <v>31 December 2010</v>
          </cell>
          <cell r="C7">
            <v>2378</v>
          </cell>
          <cell r="D7">
            <v>1070</v>
          </cell>
        </row>
        <row r="8">
          <cell r="B8" t="str">
            <v>31 March 2011</v>
          </cell>
          <cell r="C8">
            <v>2401</v>
          </cell>
          <cell r="D8">
            <v>1271</v>
          </cell>
        </row>
        <row r="9">
          <cell r="B9" t="str">
            <v>30 June 2011</v>
          </cell>
          <cell r="C9">
            <v>2215</v>
          </cell>
          <cell r="D9">
            <v>1186</v>
          </cell>
        </row>
        <row r="10">
          <cell r="B10" t="str">
            <v>30 September 2011</v>
          </cell>
          <cell r="C10">
            <v>2220</v>
          </cell>
          <cell r="D10">
            <v>1079</v>
          </cell>
        </row>
        <row r="11">
          <cell r="B11" t="str">
            <v>31 December 2011</v>
          </cell>
          <cell r="C11">
            <v>2173</v>
          </cell>
          <cell r="D11">
            <v>1030</v>
          </cell>
        </row>
        <row r="12">
          <cell r="B12" t="str">
            <v>31 March 2012</v>
          </cell>
          <cell r="C12">
            <v>2127</v>
          </cell>
          <cell r="D12">
            <v>1135</v>
          </cell>
        </row>
        <row r="13">
          <cell r="B13" t="str">
            <v>30 June 2012</v>
          </cell>
          <cell r="C13">
            <v>1985</v>
          </cell>
          <cell r="D13">
            <v>1074</v>
          </cell>
        </row>
        <row r="14">
          <cell r="B14" t="str">
            <v>30 September 2012</v>
          </cell>
          <cell r="C14">
            <v>2040</v>
          </cell>
          <cell r="D14">
            <v>951</v>
          </cell>
        </row>
        <row r="15">
          <cell r="B15" t="str">
            <v>31 December 2012</v>
          </cell>
          <cell r="C15">
            <v>2009</v>
          </cell>
          <cell r="D15">
            <v>1108</v>
          </cell>
        </row>
        <row r="16">
          <cell r="B16" t="str">
            <v>31 March 2013</v>
          </cell>
          <cell r="C16">
            <v>1961</v>
          </cell>
          <cell r="D16">
            <v>1049</v>
          </cell>
        </row>
        <row r="17">
          <cell r="B17" t="str">
            <v>30 June 2013</v>
          </cell>
          <cell r="C17">
            <v>1790</v>
          </cell>
          <cell r="D17">
            <v>1128</v>
          </cell>
        </row>
        <row r="18">
          <cell r="B18" t="str">
            <v>30 September 2013</v>
          </cell>
          <cell r="C18">
            <v>1934</v>
          </cell>
          <cell r="D18">
            <v>937</v>
          </cell>
        </row>
      </sheetData>
      <sheetData sheetId="21">
        <row r="53">
          <cell r="A53" t="str">
            <v>White</v>
          </cell>
          <cell r="I53">
            <v>0.8200620475698035</v>
          </cell>
        </row>
        <row r="54">
          <cell r="I54">
            <v>5.6359875904860392E-2</v>
          </cell>
        </row>
        <row r="55">
          <cell r="I55">
            <v>0.12357807652533609</v>
          </cell>
        </row>
        <row r="58">
          <cell r="A58" t="str">
            <v>Others</v>
          </cell>
        </row>
        <row r="59">
          <cell r="A59" t="str">
            <v>Refused/Unknown</v>
          </cell>
        </row>
      </sheetData>
      <sheetData sheetId="22">
        <row r="53">
          <cell r="A53" t="str">
            <v>Roman Catholic</v>
          </cell>
          <cell r="I53">
            <v>0.40692864529472594</v>
          </cell>
        </row>
        <row r="54">
          <cell r="A54" t="str">
            <v>Presbyterian</v>
          </cell>
          <cell r="I54">
            <v>0.10548086866597725</v>
          </cell>
        </row>
        <row r="55">
          <cell r="A55" t="str">
            <v>Church of Ireland</v>
          </cell>
          <cell r="I55">
            <v>8.4798345398138575E-2</v>
          </cell>
        </row>
        <row r="56">
          <cell r="A56" t="str">
            <v>Methodist</v>
          </cell>
          <cell r="I56">
            <v>8.790072388831437E-3</v>
          </cell>
        </row>
        <row r="57">
          <cell r="A57" t="str">
            <v>Other Denomination</v>
          </cell>
          <cell r="I57">
            <v>0.14270941054808686</v>
          </cell>
        </row>
        <row r="58">
          <cell r="A58" t="str">
            <v>None</v>
          </cell>
          <cell r="I58">
            <v>7.0320579110651496E-2</v>
          </cell>
        </row>
        <row r="59">
          <cell r="A59" t="str">
            <v>Refused/Unknown</v>
          </cell>
          <cell r="I59">
            <v>0.18097207859358841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Table 1.1"/>
      <sheetName val="Age Bar Chart"/>
      <sheetName val="Trust CPR Trends"/>
      <sheetName val="Table 1.2"/>
      <sheetName val="Per 10,000"/>
      <sheetName val="Table 1.3"/>
      <sheetName val="Legal Status - Region"/>
      <sheetName val="Table 1.4"/>
      <sheetName val="Abuse"/>
      <sheetName val="Table 1.5"/>
      <sheetName val="Duration"/>
      <sheetName val="Table 1.6"/>
      <sheetName val="Referrals Region"/>
      <sheetName val="Referral Trends"/>
      <sheetName val="BHSCT - CPR"/>
      <sheetName val="NHSCT - CPR"/>
      <sheetName val="SEHSCT - CPR"/>
      <sheetName val="SHSCT - CPR"/>
      <sheetName val="WHSCT - CPR"/>
      <sheetName val="NI - CPR"/>
      <sheetName val="NI CPR - EO"/>
      <sheetName val="NI CPR - Religion"/>
    </sheetNames>
    <sheetDataSet>
      <sheetData sheetId="0"/>
      <sheetData sheetId="1"/>
      <sheetData sheetId="2"/>
      <sheetData sheetId="3">
        <row r="2">
          <cell r="C2" t="str">
            <v>Belfast HSC Trust</v>
          </cell>
          <cell r="D2" t="str">
            <v>Northern HSC Trust</v>
          </cell>
          <cell r="E2" t="str">
            <v>South Eastern HSC Trust</v>
          </cell>
          <cell r="F2" t="str">
            <v>Southern HSC Trust</v>
          </cell>
          <cell r="G2" t="str">
            <v>Western HSC Trust</v>
          </cell>
        </row>
        <row r="4">
          <cell r="B4" t="str">
            <v>31 March 2010</v>
          </cell>
          <cell r="C4">
            <v>586</v>
          </cell>
          <cell r="D4">
            <v>372</v>
          </cell>
          <cell r="E4">
            <v>709</v>
          </cell>
          <cell r="F4">
            <v>461</v>
          </cell>
          <cell r="G4">
            <v>229</v>
          </cell>
        </row>
        <row r="5">
          <cell r="B5" t="str">
            <v>30 June 2010</v>
          </cell>
          <cell r="C5">
            <v>592</v>
          </cell>
          <cell r="D5">
            <v>409</v>
          </cell>
          <cell r="E5">
            <v>757</v>
          </cell>
          <cell r="F5">
            <v>460</v>
          </cell>
          <cell r="G5">
            <v>209</v>
          </cell>
        </row>
        <row r="6">
          <cell r="B6" t="str">
            <v>30 September 2010</v>
          </cell>
          <cell r="C6">
            <v>629</v>
          </cell>
          <cell r="D6">
            <v>430</v>
          </cell>
          <cell r="E6">
            <v>758</v>
          </cell>
          <cell r="F6">
            <v>498</v>
          </cell>
          <cell r="G6">
            <v>218</v>
          </cell>
        </row>
        <row r="7">
          <cell r="B7" t="str">
            <v>31 December 2010</v>
          </cell>
          <cell r="C7">
            <v>553</v>
          </cell>
          <cell r="D7">
            <v>418</v>
          </cell>
          <cell r="E7">
            <v>677</v>
          </cell>
          <cell r="F7">
            <v>518</v>
          </cell>
          <cell r="G7">
            <v>212</v>
          </cell>
        </row>
        <row r="8">
          <cell r="B8" t="str">
            <v>31 March 2011</v>
          </cell>
          <cell r="C8">
            <v>555</v>
          </cell>
          <cell r="D8">
            <v>452</v>
          </cell>
          <cell r="E8">
            <v>686</v>
          </cell>
          <cell r="F8">
            <v>473</v>
          </cell>
          <cell r="G8">
            <v>235</v>
          </cell>
        </row>
        <row r="9">
          <cell r="B9" t="str">
            <v>30 June 2011</v>
          </cell>
          <cell r="C9">
            <v>545</v>
          </cell>
          <cell r="D9">
            <v>407</v>
          </cell>
          <cell r="E9">
            <v>620</v>
          </cell>
          <cell r="F9">
            <v>413</v>
          </cell>
          <cell r="G9">
            <v>230</v>
          </cell>
        </row>
        <row r="10">
          <cell r="B10" t="str">
            <v>30 September 2011</v>
          </cell>
          <cell r="C10">
            <v>549</v>
          </cell>
          <cell r="D10">
            <v>393</v>
          </cell>
          <cell r="E10">
            <v>590</v>
          </cell>
          <cell r="F10">
            <v>391</v>
          </cell>
          <cell r="G10">
            <v>297</v>
          </cell>
        </row>
        <row r="11">
          <cell r="B11" t="str">
            <v>31 December 2011</v>
          </cell>
          <cell r="C11">
            <v>511</v>
          </cell>
          <cell r="D11">
            <v>424</v>
          </cell>
          <cell r="E11">
            <v>567</v>
          </cell>
          <cell r="F11">
            <v>384</v>
          </cell>
          <cell r="G11">
            <v>287</v>
          </cell>
        </row>
        <row r="12">
          <cell r="B12" t="str">
            <v>31 March 2012</v>
          </cell>
          <cell r="C12">
            <v>474</v>
          </cell>
          <cell r="D12">
            <v>458</v>
          </cell>
          <cell r="E12">
            <v>529</v>
          </cell>
          <cell r="F12">
            <v>363</v>
          </cell>
          <cell r="G12">
            <v>303</v>
          </cell>
        </row>
        <row r="13">
          <cell r="B13" t="str">
            <v>30 June 2012</v>
          </cell>
          <cell r="C13">
            <v>447</v>
          </cell>
          <cell r="D13">
            <v>474</v>
          </cell>
          <cell r="E13">
            <v>462</v>
          </cell>
          <cell r="F13">
            <v>341</v>
          </cell>
          <cell r="G13">
            <v>261</v>
          </cell>
        </row>
        <row r="14">
          <cell r="B14" t="str">
            <v>30 September 2012</v>
          </cell>
          <cell r="C14">
            <v>436</v>
          </cell>
          <cell r="D14">
            <v>534</v>
          </cell>
          <cell r="E14">
            <v>466</v>
          </cell>
          <cell r="F14">
            <v>338</v>
          </cell>
          <cell r="G14">
            <v>266</v>
          </cell>
        </row>
        <row r="15">
          <cell r="B15" t="str">
            <v>31 December 2012</v>
          </cell>
          <cell r="C15">
            <v>462</v>
          </cell>
          <cell r="D15">
            <v>560</v>
          </cell>
          <cell r="E15">
            <v>401</v>
          </cell>
          <cell r="F15">
            <v>303</v>
          </cell>
          <cell r="G15">
            <v>283</v>
          </cell>
        </row>
        <row r="16">
          <cell r="B16" t="str">
            <v>31 March 2013</v>
          </cell>
          <cell r="C16">
            <v>424</v>
          </cell>
          <cell r="D16">
            <v>525</v>
          </cell>
          <cell r="E16">
            <v>402</v>
          </cell>
          <cell r="F16">
            <v>313</v>
          </cell>
          <cell r="G16">
            <v>297</v>
          </cell>
        </row>
        <row r="17">
          <cell r="B17" t="str">
            <v>30 June 2013</v>
          </cell>
          <cell r="C17">
            <v>378</v>
          </cell>
          <cell r="D17">
            <v>436</v>
          </cell>
          <cell r="E17">
            <v>359</v>
          </cell>
          <cell r="F17">
            <v>316</v>
          </cell>
          <cell r="G17">
            <v>301</v>
          </cell>
        </row>
        <row r="18">
          <cell r="B18" t="str">
            <v>30 September 2013</v>
          </cell>
          <cell r="C18">
            <v>387</v>
          </cell>
          <cell r="D18">
            <v>438</v>
          </cell>
          <cell r="E18">
            <v>399</v>
          </cell>
          <cell r="F18">
            <v>369</v>
          </cell>
          <cell r="G18">
            <v>340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C3" t="str">
            <v>Number of Children On Child Protection Register</v>
          </cell>
          <cell r="D3" t="str">
            <v>Child Protection Referrals per Quarter</v>
          </cell>
        </row>
        <row r="4">
          <cell r="B4" t="str">
            <v>31 March 2010</v>
          </cell>
          <cell r="C4">
            <v>461</v>
          </cell>
          <cell r="D4">
            <v>278</v>
          </cell>
        </row>
        <row r="5">
          <cell r="B5" t="str">
            <v>30 June 2010</v>
          </cell>
          <cell r="C5">
            <v>460</v>
          </cell>
          <cell r="D5">
            <v>318</v>
          </cell>
        </row>
        <row r="6">
          <cell r="B6" t="str">
            <v>30 September 2010</v>
          </cell>
          <cell r="C6">
            <v>498</v>
          </cell>
          <cell r="D6">
            <v>340</v>
          </cell>
        </row>
        <row r="7">
          <cell r="B7" t="str">
            <v>31 December 2010</v>
          </cell>
          <cell r="C7">
            <v>518</v>
          </cell>
          <cell r="D7">
            <v>366</v>
          </cell>
        </row>
        <row r="8">
          <cell r="B8" t="str">
            <v>31 March 2011</v>
          </cell>
          <cell r="C8">
            <v>473</v>
          </cell>
          <cell r="D8">
            <v>347</v>
          </cell>
        </row>
        <row r="9">
          <cell r="B9" t="str">
            <v>30 June 2011</v>
          </cell>
          <cell r="C9">
            <v>413</v>
          </cell>
          <cell r="D9">
            <v>310</v>
          </cell>
        </row>
        <row r="10">
          <cell r="B10" t="str">
            <v>30 September 2011</v>
          </cell>
          <cell r="C10">
            <v>391</v>
          </cell>
          <cell r="D10">
            <v>293</v>
          </cell>
        </row>
        <row r="11">
          <cell r="B11" t="str">
            <v>31 December 2011</v>
          </cell>
          <cell r="C11">
            <v>384</v>
          </cell>
          <cell r="D11">
            <v>250</v>
          </cell>
        </row>
        <row r="12">
          <cell r="B12" t="str">
            <v>31 March 2012</v>
          </cell>
          <cell r="C12">
            <v>363</v>
          </cell>
          <cell r="D12">
            <v>325</v>
          </cell>
        </row>
        <row r="13">
          <cell r="B13" t="str">
            <v>30 June 2012</v>
          </cell>
          <cell r="C13">
            <v>341</v>
          </cell>
          <cell r="D13">
            <v>296</v>
          </cell>
        </row>
        <row r="14">
          <cell r="B14" t="str">
            <v>30 September 2012</v>
          </cell>
          <cell r="C14">
            <v>338</v>
          </cell>
          <cell r="D14">
            <v>272</v>
          </cell>
        </row>
        <row r="15">
          <cell r="B15" t="str">
            <v>31 December 2012</v>
          </cell>
          <cell r="C15">
            <v>303</v>
          </cell>
          <cell r="D15">
            <v>314</v>
          </cell>
        </row>
        <row r="16">
          <cell r="B16" t="str">
            <v>31 March 2013</v>
          </cell>
          <cell r="C16">
            <v>313</v>
          </cell>
          <cell r="D16">
            <v>332</v>
          </cell>
        </row>
        <row r="17">
          <cell r="B17" t="str">
            <v>30 June 2013</v>
          </cell>
          <cell r="C17">
            <v>316</v>
          </cell>
          <cell r="D17">
            <v>352</v>
          </cell>
        </row>
        <row r="18">
          <cell r="B18" t="str">
            <v>30 September 2013</v>
          </cell>
          <cell r="C18">
            <v>369</v>
          </cell>
          <cell r="D18">
            <v>250</v>
          </cell>
        </row>
      </sheetData>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hyperlink" Target="http://www.dhsspsni.gov.uk/index/stats_research/stats-cib/statistics_and_research-cib-pub/children_statistics/children_order_quarterly.htm"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B5:N5"/>
  <sheetViews>
    <sheetView showGridLines="0" showRowColHeaders="0" tabSelected="1" workbookViewId="0">
      <selection activeCell="B6" sqref="B6"/>
    </sheetView>
  </sheetViews>
  <sheetFormatPr defaultRowHeight="15"/>
  <sheetData>
    <row r="5" spans="2:14" ht="81" customHeight="1">
      <c r="B5" s="61" t="s">
        <v>197</v>
      </c>
      <c r="C5" s="61"/>
      <c r="D5" s="61"/>
      <c r="E5" s="61"/>
      <c r="F5" s="61"/>
      <c r="G5" s="61"/>
      <c r="H5" s="61"/>
      <c r="I5" s="61"/>
      <c r="J5" s="61"/>
      <c r="K5" s="61"/>
      <c r="L5" s="61"/>
      <c r="M5" s="61"/>
      <c r="N5" s="61"/>
    </row>
  </sheetData>
  <mergeCells count="1">
    <mergeCell ref="B5:N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2:M18"/>
  <sheetViews>
    <sheetView showGridLines="0" showRowColHeaders="0" workbookViewId="0">
      <selection activeCell="B39" sqref="B39"/>
    </sheetView>
  </sheetViews>
  <sheetFormatPr defaultRowHeight="15"/>
  <cols>
    <col min="1" max="1" width="4.28515625" customWidth="1"/>
    <col min="2" max="2" width="14" customWidth="1"/>
    <col min="3" max="3" width="9.85546875" customWidth="1"/>
    <col min="4" max="4" width="14.28515625" customWidth="1"/>
    <col min="8" max="8" width="11.140625" customWidth="1"/>
  </cols>
  <sheetData>
    <row r="2" spans="2:13">
      <c r="B2" s="17" t="s">
        <v>211</v>
      </c>
    </row>
    <row r="4" spans="2:13" ht="15" customHeight="1">
      <c r="B4" s="13"/>
      <c r="C4" s="81" t="s">
        <v>28</v>
      </c>
      <c r="D4" s="82"/>
      <c r="E4" s="82"/>
      <c r="F4" s="82"/>
      <c r="G4" s="82"/>
      <c r="H4" s="82"/>
      <c r="I4" s="82"/>
      <c r="J4" s="83"/>
      <c r="K4" s="14"/>
    </row>
    <row r="5" spans="2:13" ht="72">
      <c r="B5" s="46" t="s">
        <v>0</v>
      </c>
      <c r="C5" s="15" t="s">
        <v>29</v>
      </c>
      <c r="D5" s="15" t="s">
        <v>30</v>
      </c>
      <c r="E5" s="15" t="s">
        <v>31</v>
      </c>
      <c r="F5" s="15" t="s">
        <v>32</v>
      </c>
      <c r="G5" s="15" t="s">
        <v>33</v>
      </c>
      <c r="H5" s="15" t="s">
        <v>34</v>
      </c>
      <c r="I5" s="15" t="s">
        <v>35</v>
      </c>
      <c r="J5" s="15" t="s">
        <v>36</v>
      </c>
      <c r="K5" s="16" t="s">
        <v>7</v>
      </c>
    </row>
    <row r="6" spans="2:13">
      <c r="B6" s="3" t="s">
        <v>37</v>
      </c>
      <c r="C6" s="4">
        <v>0</v>
      </c>
      <c r="D6" s="4">
        <v>18</v>
      </c>
      <c r="E6" s="4">
        <v>16</v>
      </c>
      <c r="F6" s="4">
        <v>9</v>
      </c>
      <c r="G6" s="4">
        <v>0</v>
      </c>
      <c r="H6" s="4">
        <v>7</v>
      </c>
      <c r="I6" s="4">
        <v>17</v>
      </c>
      <c r="J6" s="4">
        <v>320</v>
      </c>
      <c r="K6" s="8">
        <v>387</v>
      </c>
    </row>
    <row r="7" spans="2:13">
      <c r="B7" s="3" t="s">
        <v>38</v>
      </c>
      <c r="C7" s="4" t="s">
        <v>121</v>
      </c>
      <c r="D7" s="4">
        <v>12</v>
      </c>
      <c r="E7" s="4">
        <v>14</v>
      </c>
      <c r="F7" s="4">
        <v>0</v>
      </c>
      <c r="G7" s="4">
        <v>0</v>
      </c>
      <c r="H7" s="4" t="s">
        <v>121</v>
      </c>
      <c r="I7" s="4" t="s">
        <v>121</v>
      </c>
      <c r="J7" s="4">
        <v>404</v>
      </c>
      <c r="K7" s="8">
        <v>438</v>
      </c>
    </row>
    <row r="8" spans="2:13">
      <c r="B8" s="3" t="s">
        <v>39</v>
      </c>
      <c r="C8" s="4" t="s">
        <v>121</v>
      </c>
      <c r="D8" s="4">
        <v>18</v>
      </c>
      <c r="E8" s="4">
        <v>5</v>
      </c>
      <c r="F8" s="4" t="s">
        <v>121</v>
      </c>
      <c r="G8" s="4">
        <v>0</v>
      </c>
      <c r="H8" s="4" t="s">
        <v>121</v>
      </c>
      <c r="I8" s="4" t="s">
        <v>121</v>
      </c>
      <c r="J8" s="4">
        <v>369</v>
      </c>
      <c r="K8" s="8">
        <v>399</v>
      </c>
    </row>
    <row r="9" spans="2:13">
      <c r="B9" s="3" t="s">
        <v>12</v>
      </c>
      <c r="C9" s="4" t="s">
        <v>121</v>
      </c>
      <c r="D9" s="4">
        <v>15</v>
      </c>
      <c r="E9" s="4">
        <v>16</v>
      </c>
      <c r="F9" s="4">
        <v>0</v>
      </c>
      <c r="G9" s="4">
        <v>0</v>
      </c>
      <c r="H9" s="4" t="s">
        <v>121</v>
      </c>
      <c r="I9" s="4">
        <v>0</v>
      </c>
      <c r="J9" s="4">
        <v>332</v>
      </c>
      <c r="K9" s="8">
        <v>369</v>
      </c>
    </row>
    <row r="10" spans="2:13">
      <c r="B10" s="3" t="s">
        <v>13</v>
      </c>
      <c r="C10" s="4">
        <v>0</v>
      </c>
      <c r="D10" s="4">
        <v>25</v>
      </c>
      <c r="E10" s="4">
        <v>30</v>
      </c>
      <c r="F10" s="4">
        <v>6</v>
      </c>
      <c r="G10" s="4">
        <v>0</v>
      </c>
      <c r="H10" s="4">
        <v>0</v>
      </c>
      <c r="I10" s="4">
        <v>0</v>
      </c>
      <c r="J10" s="4">
        <v>279</v>
      </c>
      <c r="K10" s="8">
        <v>340</v>
      </c>
    </row>
    <row r="11" spans="2:13">
      <c r="B11" s="7" t="s">
        <v>14</v>
      </c>
      <c r="C11" s="8">
        <v>2</v>
      </c>
      <c r="D11" s="8">
        <v>88</v>
      </c>
      <c r="E11" s="8">
        <v>81</v>
      </c>
      <c r="F11" s="8">
        <v>17</v>
      </c>
      <c r="G11" s="8">
        <v>0</v>
      </c>
      <c r="H11" s="8">
        <v>16</v>
      </c>
      <c r="I11" s="8">
        <v>25</v>
      </c>
      <c r="J11" s="8">
        <v>1704</v>
      </c>
      <c r="K11" s="8">
        <v>1933</v>
      </c>
    </row>
    <row r="12" spans="2:13" ht="15" customHeight="1">
      <c r="B12" s="36" t="s">
        <v>98</v>
      </c>
    </row>
    <row r="13" spans="2:13">
      <c r="B13" s="84" t="s">
        <v>122</v>
      </c>
      <c r="C13" s="84"/>
      <c r="D13" s="84"/>
      <c r="E13" s="84"/>
      <c r="F13" s="84"/>
      <c r="G13" s="84"/>
      <c r="H13" s="84"/>
      <c r="I13" s="84"/>
      <c r="J13" s="84"/>
      <c r="K13" s="84"/>
    </row>
    <row r="14" spans="2:13">
      <c r="B14" s="49"/>
      <c r="C14" s="50"/>
      <c r="D14" s="50"/>
      <c r="E14" s="50"/>
      <c r="F14" s="50"/>
      <c r="G14" s="50"/>
      <c r="H14" s="50"/>
      <c r="I14" s="50"/>
      <c r="J14" s="50"/>
      <c r="K14" s="51"/>
    </row>
    <row r="16" spans="2:13" ht="25.5" customHeight="1">
      <c r="B16" s="91" t="s">
        <v>212</v>
      </c>
      <c r="C16" s="76"/>
      <c r="D16" s="76"/>
      <c r="E16" s="76"/>
      <c r="F16" s="76"/>
      <c r="G16" s="76"/>
      <c r="H16" s="76"/>
      <c r="I16" s="76"/>
      <c r="J16" s="76"/>
      <c r="K16" s="76"/>
      <c r="L16" s="76"/>
      <c r="M16" s="76"/>
    </row>
    <row r="17" spans="2:13">
      <c r="B17" s="26"/>
      <c r="C17" s="25"/>
      <c r="D17" s="25"/>
      <c r="E17" s="25"/>
      <c r="F17" s="25"/>
      <c r="G17" s="25"/>
      <c r="H17" s="25"/>
      <c r="I17" s="25"/>
      <c r="J17" s="25"/>
      <c r="K17" s="25"/>
      <c r="L17" s="25"/>
      <c r="M17" s="25"/>
    </row>
    <row r="18" spans="2:13" ht="29.25" customHeight="1">
      <c r="B18" s="75" t="s">
        <v>164</v>
      </c>
      <c r="C18" s="76"/>
      <c r="D18" s="76"/>
      <c r="E18" s="76"/>
      <c r="F18" s="76"/>
      <c r="G18" s="76"/>
      <c r="H18" s="76"/>
      <c r="I18" s="76"/>
      <c r="J18" s="76"/>
      <c r="K18" s="76"/>
      <c r="L18" s="76"/>
      <c r="M18" s="76"/>
    </row>
  </sheetData>
  <mergeCells count="4">
    <mergeCell ref="C4:J4"/>
    <mergeCell ref="B16:M16"/>
    <mergeCell ref="B18:M18"/>
    <mergeCell ref="B13:K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B2:M32"/>
  <sheetViews>
    <sheetView showGridLines="0" showRowColHeaders="0" workbookViewId="0">
      <selection activeCell="B50" sqref="B50"/>
    </sheetView>
  </sheetViews>
  <sheetFormatPr defaultRowHeight="15"/>
  <sheetData>
    <row r="2" spans="2:2">
      <c r="B2" s="17" t="s">
        <v>213</v>
      </c>
    </row>
    <row r="29" spans="2:13">
      <c r="B29" s="36" t="s">
        <v>98</v>
      </c>
    </row>
    <row r="32" spans="2:13" ht="48.75" customHeight="1">
      <c r="B32" s="75" t="s">
        <v>165</v>
      </c>
      <c r="C32" s="76"/>
      <c r="D32" s="76"/>
      <c r="E32" s="76"/>
      <c r="F32" s="76"/>
      <c r="G32" s="76"/>
      <c r="H32" s="76"/>
      <c r="I32" s="76"/>
      <c r="J32" s="76"/>
      <c r="K32" s="76"/>
      <c r="L32" s="76"/>
      <c r="M32" s="76"/>
    </row>
  </sheetData>
  <mergeCells count="1">
    <mergeCell ref="B32:M3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B2:K21"/>
  <sheetViews>
    <sheetView showGridLines="0" showRowColHeaders="0" workbookViewId="0">
      <selection activeCell="C69" sqref="C69"/>
    </sheetView>
  </sheetViews>
  <sheetFormatPr defaultRowHeight="15"/>
  <cols>
    <col min="2" max="2" width="15.7109375" customWidth="1"/>
  </cols>
  <sheetData>
    <row r="2" spans="2:11">
      <c r="B2" s="17" t="s">
        <v>214</v>
      </c>
    </row>
    <row r="3" spans="2:11">
      <c r="B3" s="17"/>
    </row>
    <row r="4" spans="2:11" ht="15" customHeight="1">
      <c r="B4" s="31"/>
      <c r="C4" s="81" t="s">
        <v>86</v>
      </c>
      <c r="D4" s="82"/>
      <c r="E4" s="82"/>
      <c r="F4" s="82"/>
      <c r="G4" s="82"/>
      <c r="H4" s="82"/>
      <c r="I4" s="82"/>
      <c r="J4" s="83"/>
      <c r="K4" s="14"/>
    </row>
    <row r="5" spans="2:11" ht="72">
      <c r="B5" s="32" t="s">
        <v>87</v>
      </c>
      <c r="C5" s="15" t="s">
        <v>88</v>
      </c>
      <c r="D5" s="15" t="s">
        <v>89</v>
      </c>
      <c r="E5" s="15" t="s">
        <v>90</v>
      </c>
      <c r="F5" s="15" t="s">
        <v>91</v>
      </c>
      <c r="G5" s="15" t="s">
        <v>92</v>
      </c>
      <c r="H5" s="15" t="s">
        <v>93</v>
      </c>
      <c r="I5" s="15" t="s">
        <v>94</v>
      </c>
      <c r="J5" s="15" t="s">
        <v>95</v>
      </c>
      <c r="K5" s="16" t="s">
        <v>96</v>
      </c>
    </row>
    <row r="6" spans="2:11" ht="15" customHeight="1">
      <c r="B6" s="3" t="s">
        <v>37</v>
      </c>
      <c r="C6" s="33" t="s">
        <v>121</v>
      </c>
      <c r="D6" s="33">
        <v>86</v>
      </c>
      <c r="E6" s="33">
        <v>9</v>
      </c>
      <c r="F6" s="33" t="s">
        <v>121</v>
      </c>
      <c r="G6" s="33">
        <v>135</v>
      </c>
      <c r="H6" s="33">
        <v>111</v>
      </c>
      <c r="I6" s="33">
        <v>19</v>
      </c>
      <c r="J6" s="33">
        <v>22</v>
      </c>
      <c r="K6" s="34">
        <v>387</v>
      </c>
    </row>
    <row r="7" spans="2:11" ht="15" customHeight="1">
      <c r="B7" s="3" t="s">
        <v>38</v>
      </c>
      <c r="C7" s="33">
        <v>8</v>
      </c>
      <c r="D7" s="33">
        <v>70</v>
      </c>
      <c r="E7" s="33">
        <v>8</v>
      </c>
      <c r="F7" s="33">
        <v>9</v>
      </c>
      <c r="G7" s="33">
        <v>133</v>
      </c>
      <c r="H7" s="33">
        <v>103</v>
      </c>
      <c r="I7" s="33">
        <v>51</v>
      </c>
      <c r="J7" s="33">
        <v>56</v>
      </c>
      <c r="K7" s="34">
        <v>438</v>
      </c>
    </row>
    <row r="8" spans="2:11" ht="15" customHeight="1">
      <c r="B8" s="3" t="s">
        <v>39</v>
      </c>
      <c r="C8" s="33" t="s">
        <v>121</v>
      </c>
      <c r="D8" s="33">
        <v>104</v>
      </c>
      <c r="E8" s="33" t="s">
        <v>121</v>
      </c>
      <c r="F8" s="33">
        <v>7</v>
      </c>
      <c r="G8" s="33">
        <v>130</v>
      </c>
      <c r="H8" s="33">
        <v>90</v>
      </c>
      <c r="I8" s="33">
        <v>16</v>
      </c>
      <c r="J8" s="33">
        <v>43</v>
      </c>
      <c r="K8" s="34">
        <v>399</v>
      </c>
    </row>
    <row r="9" spans="2:11" ht="15" customHeight="1">
      <c r="B9" s="3" t="s">
        <v>12</v>
      </c>
      <c r="C9" s="33" t="s">
        <v>121</v>
      </c>
      <c r="D9" s="33">
        <v>63</v>
      </c>
      <c r="E9" s="33" t="s">
        <v>121</v>
      </c>
      <c r="F9" s="33">
        <v>7</v>
      </c>
      <c r="G9" s="33">
        <v>96</v>
      </c>
      <c r="H9" s="33">
        <v>134</v>
      </c>
      <c r="I9" s="33">
        <v>34</v>
      </c>
      <c r="J9" s="33">
        <v>26</v>
      </c>
      <c r="K9" s="34">
        <v>369</v>
      </c>
    </row>
    <row r="10" spans="2:11" ht="15" customHeight="1">
      <c r="B10" s="3" t="s">
        <v>76</v>
      </c>
      <c r="C10" s="33" t="s">
        <v>121</v>
      </c>
      <c r="D10" s="33">
        <v>48</v>
      </c>
      <c r="E10" s="33" t="s">
        <v>121</v>
      </c>
      <c r="F10" s="33" t="s">
        <v>121</v>
      </c>
      <c r="G10" s="33">
        <v>74</v>
      </c>
      <c r="H10" s="33">
        <v>127</v>
      </c>
      <c r="I10" s="33">
        <v>19</v>
      </c>
      <c r="J10" s="33">
        <v>60</v>
      </c>
      <c r="K10" s="34">
        <v>340</v>
      </c>
    </row>
    <row r="11" spans="2:11" ht="15" customHeight="1">
      <c r="B11" s="7" t="s">
        <v>14</v>
      </c>
      <c r="C11" s="34">
        <v>20</v>
      </c>
      <c r="D11" s="34">
        <v>371</v>
      </c>
      <c r="E11" s="34">
        <v>29</v>
      </c>
      <c r="F11" s="34">
        <v>34</v>
      </c>
      <c r="G11" s="34">
        <v>568</v>
      </c>
      <c r="H11" s="34">
        <v>565</v>
      </c>
      <c r="I11" s="34">
        <v>139</v>
      </c>
      <c r="J11" s="34">
        <v>207</v>
      </c>
      <c r="K11" s="34">
        <v>1933</v>
      </c>
    </row>
    <row r="12" spans="2:11">
      <c r="B12" s="35" t="s">
        <v>97</v>
      </c>
    </row>
    <row r="13" spans="2:11">
      <c r="B13" s="84" t="s">
        <v>122</v>
      </c>
      <c r="C13" s="84"/>
      <c r="D13" s="84"/>
      <c r="E13" s="84"/>
      <c r="F13" s="84"/>
      <c r="G13" s="84"/>
      <c r="H13" s="84"/>
      <c r="I13" s="84"/>
      <c r="J13" s="84"/>
      <c r="K13" s="84"/>
    </row>
    <row r="15" spans="2:11" ht="27" customHeight="1">
      <c r="B15" s="85" t="s">
        <v>127</v>
      </c>
      <c r="C15" s="85"/>
      <c r="D15" s="85"/>
      <c r="E15" s="85"/>
      <c r="F15" s="85"/>
      <c r="G15" s="85"/>
      <c r="H15" s="85"/>
      <c r="I15" s="85"/>
      <c r="J15" s="85"/>
      <c r="K15" s="85"/>
    </row>
    <row r="17" spans="2:11" ht="28.5" customHeight="1">
      <c r="B17" s="69" t="s">
        <v>189</v>
      </c>
      <c r="C17" s="67"/>
      <c r="D17" s="67"/>
      <c r="E17" s="67"/>
      <c r="F17" s="67"/>
      <c r="G17" s="67"/>
      <c r="H17" s="67"/>
      <c r="I17" s="67"/>
      <c r="J17" s="67"/>
      <c r="K17" s="67"/>
    </row>
    <row r="19" spans="2:11">
      <c r="B19" s="60" t="s">
        <v>166</v>
      </c>
    </row>
    <row r="21" spans="2:11" ht="39.75" customHeight="1">
      <c r="B21" s="67"/>
      <c r="C21" s="67"/>
      <c r="D21" s="67"/>
      <c r="E21" s="67"/>
      <c r="F21" s="67"/>
      <c r="G21" s="67"/>
      <c r="H21" s="67"/>
      <c r="I21" s="67"/>
      <c r="J21" s="67"/>
      <c r="K21" s="67"/>
    </row>
  </sheetData>
  <mergeCells count="5">
    <mergeCell ref="C4:J4"/>
    <mergeCell ref="B13:K13"/>
    <mergeCell ref="B15:K15"/>
    <mergeCell ref="B17:K17"/>
    <mergeCell ref="B21:K2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B2:M32"/>
  <sheetViews>
    <sheetView showGridLines="0" showRowColHeaders="0" workbookViewId="0">
      <selection activeCell="B48" sqref="B48"/>
    </sheetView>
  </sheetViews>
  <sheetFormatPr defaultRowHeight="15"/>
  <sheetData>
    <row r="2" spans="2:2">
      <c r="B2" s="17" t="s">
        <v>215</v>
      </c>
    </row>
    <row r="26" spans="2:13" ht="9.75" customHeight="1">
      <c r="B26" s="35" t="s">
        <v>97</v>
      </c>
    </row>
    <row r="28" spans="2:13" ht="40.5" customHeight="1">
      <c r="B28" s="93" t="s">
        <v>216</v>
      </c>
      <c r="C28" s="85"/>
      <c r="D28" s="85"/>
      <c r="E28" s="85"/>
      <c r="F28" s="85"/>
      <c r="G28" s="85"/>
      <c r="H28" s="85"/>
      <c r="I28" s="85"/>
      <c r="J28" s="85"/>
      <c r="K28" s="85"/>
      <c r="L28" s="85"/>
      <c r="M28" s="85"/>
    </row>
    <row r="30" spans="2:13" ht="27.75" customHeight="1">
      <c r="B30" s="86" t="s">
        <v>190</v>
      </c>
      <c r="C30" s="85"/>
      <c r="D30" s="85"/>
      <c r="E30" s="85"/>
      <c r="F30" s="85"/>
      <c r="G30" s="85"/>
      <c r="H30" s="85"/>
      <c r="I30" s="85"/>
      <c r="J30" s="85"/>
      <c r="K30" s="85"/>
      <c r="L30" s="85"/>
      <c r="M30" s="85"/>
    </row>
    <row r="32" spans="2:13" ht="27" customHeight="1">
      <c r="B32" s="86" t="s">
        <v>167</v>
      </c>
      <c r="C32" s="85"/>
      <c r="D32" s="85"/>
      <c r="E32" s="85"/>
      <c r="F32" s="85"/>
      <c r="G32" s="85"/>
      <c r="H32" s="85"/>
      <c r="I32" s="85"/>
      <c r="J32" s="85"/>
      <c r="K32" s="85"/>
      <c r="L32" s="85"/>
      <c r="M32" s="85"/>
    </row>
  </sheetData>
  <mergeCells count="3">
    <mergeCell ref="B28:M28"/>
    <mergeCell ref="B30:M30"/>
    <mergeCell ref="B32:M3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B2:L17"/>
  <sheetViews>
    <sheetView showGridLines="0" showRowColHeaders="0" workbookViewId="0">
      <selection activeCell="C57" sqref="C57"/>
    </sheetView>
  </sheetViews>
  <sheetFormatPr defaultRowHeight="15"/>
  <cols>
    <col min="2" max="2" width="15.140625" customWidth="1"/>
  </cols>
  <sheetData>
    <row r="2" spans="2:12">
      <c r="B2" s="17" t="s">
        <v>218</v>
      </c>
    </row>
    <row r="4" spans="2:12">
      <c r="B4" s="45"/>
      <c r="C4" s="72" t="s">
        <v>100</v>
      </c>
      <c r="D4" s="73"/>
      <c r="E4" s="73"/>
      <c r="F4" s="73"/>
      <c r="G4" s="73"/>
      <c r="H4" s="74"/>
      <c r="I4" s="37"/>
    </row>
    <row r="5" spans="2:12" ht="36">
      <c r="B5" s="18" t="s">
        <v>0</v>
      </c>
      <c r="C5" s="48" t="s">
        <v>101</v>
      </c>
      <c r="D5" s="48" t="s">
        <v>123</v>
      </c>
      <c r="E5" s="48" t="s">
        <v>124</v>
      </c>
      <c r="F5" s="48" t="s">
        <v>125</v>
      </c>
      <c r="G5" s="48" t="s">
        <v>126</v>
      </c>
      <c r="H5" s="48" t="s">
        <v>102</v>
      </c>
      <c r="I5" s="38" t="s">
        <v>7</v>
      </c>
    </row>
    <row r="6" spans="2:12" ht="15" customHeight="1">
      <c r="B6" s="3" t="s">
        <v>37</v>
      </c>
      <c r="C6" s="39">
        <v>71</v>
      </c>
      <c r="D6" s="39">
        <v>74</v>
      </c>
      <c r="E6" s="39">
        <v>121</v>
      </c>
      <c r="F6" s="39">
        <v>90</v>
      </c>
      <c r="G6" s="39">
        <v>19</v>
      </c>
      <c r="H6" s="39">
        <v>12</v>
      </c>
      <c r="I6" s="8">
        <f>SUM(C6:H6)</f>
        <v>387</v>
      </c>
    </row>
    <row r="7" spans="2:12" ht="15" customHeight="1">
      <c r="B7" s="3" t="s">
        <v>38</v>
      </c>
      <c r="C7" s="39">
        <v>101</v>
      </c>
      <c r="D7" s="39">
        <v>89</v>
      </c>
      <c r="E7" s="39">
        <v>103</v>
      </c>
      <c r="F7" s="39">
        <v>127</v>
      </c>
      <c r="G7" s="39" t="s">
        <v>121</v>
      </c>
      <c r="H7" s="39" t="s">
        <v>121</v>
      </c>
      <c r="I7" s="8">
        <f>SUM(C7:H7)</f>
        <v>420</v>
      </c>
    </row>
    <row r="8" spans="2:12" ht="15" customHeight="1">
      <c r="B8" s="3" t="s">
        <v>11</v>
      </c>
      <c r="C8" s="39">
        <v>111</v>
      </c>
      <c r="D8" s="39">
        <v>82</v>
      </c>
      <c r="E8" s="39">
        <v>95</v>
      </c>
      <c r="F8" s="39">
        <v>61</v>
      </c>
      <c r="G8" s="39">
        <v>25</v>
      </c>
      <c r="H8" s="39">
        <v>25</v>
      </c>
      <c r="I8" s="8">
        <f>SUM(C8:H8)</f>
        <v>399</v>
      </c>
    </row>
    <row r="9" spans="2:12" ht="15" customHeight="1">
      <c r="B9" s="3" t="s">
        <v>12</v>
      </c>
      <c r="C9" s="39">
        <v>120</v>
      </c>
      <c r="D9" s="39">
        <v>97</v>
      </c>
      <c r="E9" s="39">
        <v>76</v>
      </c>
      <c r="F9" s="39">
        <v>67</v>
      </c>
      <c r="G9" s="39" t="s">
        <v>121</v>
      </c>
      <c r="H9" s="39" t="s">
        <v>121</v>
      </c>
      <c r="I9" s="8">
        <v>369</v>
      </c>
    </row>
    <row r="10" spans="2:12" ht="15" customHeight="1">
      <c r="B10" s="3" t="s">
        <v>76</v>
      </c>
      <c r="C10" s="39">
        <v>84</v>
      </c>
      <c r="D10" s="39">
        <v>68</v>
      </c>
      <c r="E10" s="39">
        <v>96</v>
      </c>
      <c r="F10" s="39">
        <v>47</v>
      </c>
      <c r="G10" s="39">
        <v>35</v>
      </c>
      <c r="H10" s="39">
        <v>10</v>
      </c>
      <c r="I10" s="8">
        <f>SUM(C10:H10)</f>
        <v>340</v>
      </c>
    </row>
    <row r="11" spans="2:12" ht="15" customHeight="1">
      <c r="B11" s="7" t="s">
        <v>14</v>
      </c>
      <c r="C11" s="8">
        <f t="shared" ref="C11:H11" si="0">SUM(C6:C10)</f>
        <v>487</v>
      </c>
      <c r="D11" s="8">
        <f t="shared" si="0"/>
        <v>410</v>
      </c>
      <c r="E11" s="8">
        <f t="shared" si="0"/>
        <v>491</v>
      </c>
      <c r="F11" s="8">
        <f t="shared" si="0"/>
        <v>392</v>
      </c>
      <c r="G11" s="8">
        <v>94</v>
      </c>
      <c r="H11" s="8">
        <v>59</v>
      </c>
      <c r="I11" s="8">
        <v>1933</v>
      </c>
    </row>
    <row r="12" spans="2:12">
      <c r="B12" s="40" t="s">
        <v>103</v>
      </c>
      <c r="C12" s="41"/>
      <c r="D12" s="41"/>
      <c r="E12" s="41"/>
      <c r="F12" s="41"/>
      <c r="G12" s="41"/>
      <c r="H12" s="41"/>
      <c r="I12" s="41"/>
    </row>
    <row r="13" spans="2:12">
      <c r="H13" s="41"/>
      <c r="I13" s="41"/>
    </row>
    <row r="15" spans="2:12" ht="27.75" customHeight="1">
      <c r="B15" s="86" t="s">
        <v>168</v>
      </c>
      <c r="C15" s="85"/>
      <c r="D15" s="85"/>
      <c r="E15" s="85"/>
      <c r="F15" s="85"/>
      <c r="G15" s="85"/>
      <c r="H15" s="85"/>
      <c r="I15" s="85"/>
      <c r="J15" s="85"/>
      <c r="K15" s="85"/>
      <c r="L15" s="85"/>
    </row>
    <row r="17" spans="2:12" ht="27.75" customHeight="1">
      <c r="B17" s="87" t="s">
        <v>169</v>
      </c>
      <c r="C17" s="85"/>
      <c r="D17" s="85"/>
      <c r="E17" s="85"/>
      <c r="F17" s="85"/>
      <c r="G17" s="85"/>
      <c r="H17" s="85"/>
      <c r="I17" s="85"/>
      <c r="J17" s="85"/>
      <c r="K17" s="85"/>
      <c r="L17" s="85"/>
    </row>
  </sheetData>
  <mergeCells count="3">
    <mergeCell ref="C4:H4"/>
    <mergeCell ref="B15:L15"/>
    <mergeCell ref="B17:L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B2:M27"/>
  <sheetViews>
    <sheetView showGridLines="0" showRowColHeaders="0" workbookViewId="0">
      <selection activeCell="N12" sqref="N12"/>
    </sheetView>
  </sheetViews>
  <sheetFormatPr defaultRowHeight="15"/>
  <sheetData>
    <row r="2" spans="2:2">
      <c r="B2" s="17" t="s">
        <v>217</v>
      </c>
    </row>
    <row r="23" spans="2:13">
      <c r="B23" s="35" t="s">
        <v>103</v>
      </c>
    </row>
    <row r="25" spans="2:13" ht="27" customHeight="1">
      <c r="B25" s="86" t="s">
        <v>170</v>
      </c>
      <c r="C25" s="85"/>
      <c r="D25" s="85"/>
      <c r="E25" s="85"/>
      <c r="F25" s="85"/>
      <c r="G25" s="85"/>
      <c r="H25" s="85"/>
      <c r="I25" s="85"/>
      <c r="J25" s="85"/>
      <c r="K25" s="85"/>
      <c r="L25" s="85"/>
      <c r="M25" s="85"/>
    </row>
    <row r="27" spans="2:13" ht="29.25" customHeight="1">
      <c r="B27" s="86" t="s">
        <v>191</v>
      </c>
      <c r="C27" s="85"/>
      <c r="D27" s="85"/>
      <c r="E27" s="85"/>
      <c r="F27" s="85"/>
      <c r="G27" s="85"/>
      <c r="H27" s="85"/>
      <c r="I27" s="85"/>
      <c r="J27" s="85"/>
      <c r="K27" s="85"/>
      <c r="L27" s="85"/>
      <c r="M27" s="85"/>
    </row>
  </sheetData>
  <mergeCells count="2">
    <mergeCell ref="B25:M25"/>
    <mergeCell ref="B27:M2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B1:N40"/>
  <sheetViews>
    <sheetView showGridLines="0" showRowColHeaders="0" workbookViewId="0">
      <selection activeCell="B41" sqref="B41"/>
    </sheetView>
  </sheetViews>
  <sheetFormatPr defaultRowHeight="15"/>
  <sheetData>
    <row r="1" spans="2:13">
      <c r="B1" s="53" t="s">
        <v>171</v>
      </c>
    </row>
    <row r="2" spans="2:13">
      <c r="B2" s="44"/>
    </row>
    <row r="3" spans="2:13" ht="28.5" customHeight="1">
      <c r="B3" s="69" t="s">
        <v>192</v>
      </c>
      <c r="C3" s="67"/>
      <c r="D3" s="67"/>
      <c r="E3" s="67"/>
      <c r="F3" s="67"/>
      <c r="G3" s="67"/>
      <c r="H3" s="67"/>
      <c r="I3" s="67"/>
      <c r="J3" s="67"/>
      <c r="K3" s="67"/>
      <c r="L3" s="67"/>
      <c r="M3" s="67"/>
    </row>
    <row r="5" spans="2:13" ht="40.5" customHeight="1">
      <c r="B5" s="69" t="s">
        <v>193</v>
      </c>
      <c r="C5" s="67"/>
      <c r="D5" s="67"/>
      <c r="E5" s="67"/>
      <c r="F5" s="67"/>
      <c r="G5" s="67"/>
      <c r="H5" s="67"/>
      <c r="I5" s="67"/>
      <c r="J5" s="67"/>
      <c r="K5" s="67"/>
      <c r="L5" s="67"/>
      <c r="M5" s="67"/>
    </row>
    <row r="7" spans="2:13" ht="27.75" customHeight="1">
      <c r="B7" s="69" t="s">
        <v>194</v>
      </c>
      <c r="C7" s="67"/>
      <c r="D7" s="67"/>
      <c r="E7" s="67"/>
      <c r="F7" s="67"/>
      <c r="G7" s="67"/>
      <c r="H7" s="67"/>
      <c r="I7" s="67"/>
      <c r="J7" s="67"/>
      <c r="K7" s="67"/>
      <c r="L7" s="67"/>
      <c r="M7" s="67"/>
    </row>
    <row r="9" spans="2:13" ht="39" customHeight="1">
      <c r="B9" s="88" t="s">
        <v>172</v>
      </c>
      <c r="C9" s="67"/>
      <c r="D9" s="67"/>
      <c r="E9" s="67"/>
      <c r="F9" s="67"/>
      <c r="G9" s="67"/>
      <c r="H9" s="67"/>
      <c r="I9" s="67"/>
      <c r="J9" s="67"/>
      <c r="K9" s="67"/>
      <c r="L9" s="67"/>
      <c r="M9" s="67"/>
    </row>
    <row r="12" spans="2:13">
      <c r="B12" s="66" t="s">
        <v>153</v>
      </c>
      <c r="C12" s="66"/>
      <c r="D12" s="66"/>
      <c r="E12" s="66"/>
      <c r="F12" s="66"/>
      <c r="G12" s="66"/>
      <c r="H12" s="66"/>
      <c r="I12" s="66"/>
      <c r="J12" s="66"/>
      <c r="K12" s="66"/>
      <c r="L12" s="66"/>
      <c r="M12" s="66"/>
    </row>
    <row r="36" spans="2:14" ht="9.75" customHeight="1"/>
    <row r="37" spans="2:14" ht="12.75" customHeight="1">
      <c r="B37" s="35" t="s">
        <v>99</v>
      </c>
    </row>
    <row r="38" spans="2:14" ht="12.75" customHeight="1">
      <c r="B38" s="35" t="s">
        <v>107</v>
      </c>
    </row>
    <row r="39" spans="2:14" ht="12.75" customHeight="1">
      <c r="B39" s="35"/>
    </row>
    <row r="40" spans="2:14" ht="48" customHeight="1">
      <c r="B40" s="87" t="s">
        <v>195</v>
      </c>
      <c r="C40" s="85"/>
      <c r="D40" s="85"/>
      <c r="E40" s="85"/>
      <c r="F40" s="85"/>
      <c r="G40" s="85"/>
      <c r="H40" s="85"/>
      <c r="I40" s="85"/>
      <c r="J40" s="85"/>
      <c r="K40" s="85"/>
      <c r="L40" s="85"/>
      <c r="M40" s="85"/>
      <c r="N40" s="85"/>
    </row>
  </sheetData>
  <mergeCells count="6">
    <mergeCell ref="B3:M3"/>
    <mergeCell ref="B12:M12"/>
    <mergeCell ref="B40:N40"/>
    <mergeCell ref="B5:M5"/>
    <mergeCell ref="B7:M7"/>
    <mergeCell ref="B9:M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B2:O22"/>
  <sheetViews>
    <sheetView showGridLines="0" showRowColHeaders="0" workbookViewId="0">
      <selection activeCell="B25" sqref="B25"/>
    </sheetView>
  </sheetViews>
  <sheetFormatPr defaultRowHeight="15"/>
  <cols>
    <col min="1" max="1" width="3.85546875" customWidth="1"/>
    <col min="2" max="2" width="14.42578125" customWidth="1"/>
  </cols>
  <sheetData>
    <row r="2" spans="2:15">
      <c r="B2" s="17" t="s">
        <v>154</v>
      </c>
    </row>
    <row r="4" spans="2:15" ht="15" customHeight="1">
      <c r="B4" s="45"/>
      <c r="C4" s="81" t="s">
        <v>40</v>
      </c>
      <c r="D4" s="82"/>
      <c r="E4" s="82"/>
      <c r="F4" s="82"/>
      <c r="G4" s="82"/>
      <c r="H4" s="82"/>
      <c r="I4" s="82"/>
      <c r="J4" s="82"/>
      <c r="K4" s="82"/>
      <c r="L4" s="82"/>
      <c r="M4" s="82"/>
      <c r="N4" s="83"/>
      <c r="O4" s="14"/>
    </row>
    <row r="5" spans="2:15" ht="25.5">
      <c r="B5" s="18" t="s">
        <v>0</v>
      </c>
      <c r="C5" s="15" t="s">
        <v>41</v>
      </c>
      <c r="D5" s="14" t="s">
        <v>42</v>
      </c>
      <c r="E5" s="15" t="s">
        <v>43</v>
      </c>
      <c r="F5" s="15" t="s">
        <v>44</v>
      </c>
      <c r="G5" s="15" t="s">
        <v>45</v>
      </c>
      <c r="H5" s="15" t="s">
        <v>46</v>
      </c>
      <c r="I5" s="15" t="s">
        <v>47</v>
      </c>
      <c r="J5" s="15" t="s">
        <v>48</v>
      </c>
      <c r="K5" s="15" t="s">
        <v>49</v>
      </c>
      <c r="L5" s="15" t="s">
        <v>50</v>
      </c>
      <c r="M5" s="15" t="s">
        <v>51</v>
      </c>
      <c r="N5" s="15" t="s">
        <v>35</v>
      </c>
      <c r="O5" s="19" t="s">
        <v>7</v>
      </c>
    </row>
    <row r="6" spans="2:15">
      <c r="B6" s="3" t="s">
        <v>9</v>
      </c>
      <c r="C6" s="4" t="s">
        <v>121</v>
      </c>
      <c r="D6" s="4">
        <v>17</v>
      </c>
      <c r="E6" s="4" t="s">
        <v>121</v>
      </c>
      <c r="F6" s="4" t="s">
        <v>121</v>
      </c>
      <c r="G6" s="4">
        <v>85</v>
      </c>
      <c r="H6" s="4" t="s">
        <v>121</v>
      </c>
      <c r="I6" s="4" t="s">
        <v>121</v>
      </c>
      <c r="J6" s="4">
        <v>0</v>
      </c>
      <c r="K6" s="4">
        <v>5</v>
      </c>
      <c r="L6" s="4">
        <v>0</v>
      </c>
      <c r="M6" s="4" t="s">
        <v>121</v>
      </c>
      <c r="N6" s="4">
        <v>7</v>
      </c>
      <c r="O6" s="8">
        <v>135</v>
      </c>
    </row>
    <row r="7" spans="2:15">
      <c r="B7" s="3" t="s">
        <v>38</v>
      </c>
      <c r="C7" s="4" t="s">
        <v>121</v>
      </c>
      <c r="D7" s="4">
        <v>5</v>
      </c>
      <c r="E7" s="4">
        <v>0</v>
      </c>
      <c r="F7" s="4" t="s">
        <v>121</v>
      </c>
      <c r="G7" s="4">
        <v>141</v>
      </c>
      <c r="H7" s="4">
        <v>0</v>
      </c>
      <c r="I7" s="4">
        <v>0</v>
      </c>
      <c r="J7" s="4">
        <v>0</v>
      </c>
      <c r="K7" s="4" t="s">
        <v>121</v>
      </c>
      <c r="L7" s="4">
        <v>0</v>
      </c>
      <c r="M7" s="4" t="s">
        <v>121</v>
      </c>
      <c r="N7" s="4">
        <v>6</v>
      </c>
      <c r="O7" s="8">
        <v>161</v>
      </c>
    </row>
    <row r="8" spans="2:15">
      <c r="B8" s="3" t="s">
        <v>11</v>
      </c>
      <c r="C8" s="4">
        <v>70</v>
      </c>
      <c r="D8" s="4">
        <v>39</v>
      </c>
      <c r="E8" s="4" t="s">
        <v>121</v>
      </c>
      <c r="F8" s="4">
        <v>11</v>
      </c>
      <c r="G8" s="4">
        <v>84</v>
      </c>
      <c r="H8" s="4" t="s">
        <v>121</v>
      </c>
      <c r="I8" s="4">
        <v>9</v>
      </c>
      <c r="J8" s="4">
        <v>5</v>
      </c>
      <c r="K8" s="4">
        <v>19</v>
      </c>
      <c r="L8" s="4">
        <v>6</v>
      </c>
      <c r="M8" s="4">
        <v>19</v>
      </c>
      <c r="N8" s="4">
        <v>26</v>
      </c>
      <c r="O8" s="8">
        <v>300</v>
      </c>
    </row>
    <row r="9" spans="2:15">
      <c r="B9" s="3" t="s">
        <v>26</v>
      </c>
      <c r="C9" s="4">
        <v>50</v>
      </c>
      <c r="D9" s="4">
        <v>21</v>
      </c>
      <c r="E9" s="4">
        <v>12</v>
      </c>
      <c r="F9" s="4" t="s">
        <v>121</v>
      </c>
      <c r="G9" s="4">
        <v>123</v>
      </c>
      <c r="H9" s="4">
        <v>13</v>
      </c>
      <c r="I9" s="4">
        <v>20</v>
      </c>
      <c r="J9" s="4">
        <v>0</v>
      </c>
      <c r="K9" s="4">
        <v>18</v>
      </c>
      <c r="L9" s="4">
        <v>13</v>
      </c>
      <c r="M9" s="4" t="s">
        <v>121</v>
      </c>
      <c r="N9" s="4">
        <v>68</v>
      </c>
      <c r="O9" s="8">
        <v>352</v>
      </c>
    </row>
    <row r="10" spans="2:15">
      <c r="B10" s="3" t="s">
        <v>13</v>
      </c>
      <c r="C10" s="4">
        <v>30</v>
      </c>
      <c r="D10" s="4">
        <v>37</v>
      </c>
      <c r="E10" s="4" t="s">
        <v>121</v>
      </c>
      <c r="F10" s="4" t="s">
        <v>121</v>
      </c>
      <c r="G10" s="4">
        <v>79</v>
      </c>
      <c r="H10" s="4">
        <v>0</v>
      </c>
      <c r="I10" s="4" t="s">
        <v>121</v>
      </c>
      <c r="J10" s="4">
        <v>0</v>
      </c>
      <c r="K10" s="4" t="s">
        <v>121</v>
      </c>
      <c r="L10" s="4">
        <v>0</v>
      </c>
      <c r="M10" s="4">
        <v>0</v>
      </c>
      <c r="N10" s="4">
        <v>18</v>
      </c>
      <c r="O10" s="8">
        <v>180</v>
      </c>
    </row>
    <row r="11" spans="2:15">
      <c r="B11" s="7" t="s">
        <v>14</v>
      </c>
      <c r="C11" s="8">
        <v>160</v>
      </c>
      <c r="D11" s="8">
        <v>119</v>
      </c>
      <c r="E11" s="8">
        <v>24</v>
      </c>
      <c r="F11" s="8">
        <v>16</v>
      </c>
      <c r="G11" s="8">
        <v>512</v>
      </c>
      <c r="H11" s="8">
        <v>25</v>
      </c>
      <c r="I11" s="8">
        <v>38</v>
      </c>
      <c r="J11" s="8">
        <v>5</v>
      </c>
      <c r="K11" s="8">
        <v>49</v>
      </c>
      <c r="L11" s="8">
        <v>19</v>
      </c>
      <c r="M11" s="8">
        <v>36</v>
      </c>
      <c r="N11" s="8">
        <v>125</v>
      </c>
      <c r="O11" s="8">
        <v>1128</v>
      </c>
    </row>
    <row r="12" spans="2:15">
      <c r="B12" s="35" t="s">
        <v>99</v>
      </c>
    </row>
    <row r="13" spans="2:15">
      <c r="B13" s="42" t="s">
        <v>104</v>
      </c>
    </row>
    <row r="14" spans="2:15">
      <c r="B14" s="84" t="s">
        <v>122</v>
      </c>
      <c r="C14" s="84"/>
      <c r="D14" s="84"/>
      <c r="E14" s="84"/>
      <c r="F14" s="84"/>
      <c r="G14" s="84"/>
    </row>
    <row r="16" spans="2:15" ht="44.25" customHeight="1">
      <c r="B16" s="88" t="s">
        <v>173</v>
      </c>
      <c r="C16" s="67"/>
      <c r="D16" s="67"/>
      <c r="E16" s="67"/>
      <c r="F16" s="67"/>
      <c r="G16" s="67"/>
      <c r="H16" s="67"/>
      <c r="I16" s="67"/>
      <c r="J16" s="67"/>
      <c r="K16" s="67"/>
      <c r="L16" s="67"/>
      <c r="M16" s="67"/>
      <c r="N16" s="52"/>
      <c r="O16" s="52"/>
    </row>
    <row r="17" spans="2:15">
      <c r="B17" s="29"/>
      <c r="C17" s="25"/>
      <c r="D17" s="25"/>
      <c r="E17" s="25"/>
      <c r="F17" s="25"/>
      <c r="G17" s="25"/>
      <c r="H17" s="25"/>
      <c r="I17" s="25"/>
      <c r="J17" s="25"/>
      <c r="K17" s="25"/>
      <c r="L17" s="25"/>
      <c r="M17" s="25"/>
      <c r="N17" s="25"/>
      <c r="O17" s="25"/>
    </row>
    <row r="18" spans="2:15" ht="26.25" customHeight="1">
      <c r="B18" s="76"/>
      <c r="C18" s="76"/>
      <c r="D18" s="76"/>
      <c r="E18" s="76"/>
      <c r="F18" s="76"/>
      <c r="G18" s="76"/>
      <c r="H18" s="76"/>
      <c r="I18" s="76"/>
      <c r="J18" s="76"/>
      <c r="K18" s="76"/>
      <c r="L18" s="76"/>
      <c r="M18" s="76"/>
      <c r="N18" s="76"/>
      <c r="O18" s="76"/>
    </row>
    <row r="19" spans="2:15">
      <c r="B19" s="30"/>
      <c r="C19" s="25"/>
      <c r="D19" s="25"/>
      <c r="E19" s="25"/>
      <c r="F19" s="25"/>
      <c r="G19" s="25"/>
      <c r="H19" s="25"/>
      <c r="I19" s="25"/>
      <c r="J19" s="25"/>
      <c r="K19" s="25"/>
      <c r="L19" s="25"/>
      <c r="M19" s="25"/>
      <c r="N19" s="25"/>
      <c r="O19" s="25"/>
    </row>
    <row r="20" spans="2:15" ht="27" customHeight="1">
      <c r="B20" s="76"/>
      <c r="C20" s="76"/>
      <c r="D20" s="76"/>
      <c r="E20" s="76"/>
      <c r="F20" s="76"/>
      <c r="G20" s="76"/>
      <c r="H20" s="76"/>
      <c r="I20" s="76"/>
      <c r="J20" s="76"/>
      <c r="K20" s="76"/>
      <c r="L20" s="76"/>
      <c r="M20" s="76"/>
      <c r="N20" s="76"/>
      <c r="O20" s="76"/>
    </row>
    <row r="21" spans="2:15">
      <c r="B21" s="25"/>
      <c r="C21" s="25"/>
      <c r="D21" s="25"/>
      <c r="E21" s="25"/>
      <c r="F21" s="25"/>
      <c r="G21" s="25"/>
      <c r="H21" s="25"/>
      <c r="I21" s="25"/>
      <c r="J21" s="25"/>
      <c r="K21" s="25"/>
      <c r="L21" s="25"/>
      <c r="M21" s="25"/>
      <c r="N21" s="25"/>
      <c r="O21" s="25"/>
    </row>
    <row r="22" spans="2:15">
      <c r="B22" s="76"/>
      <c r="C22" s="76"/>
      <c r="D22" s="76"/>
      <c r="E22" s="76"/>
      <c r="F22" s="76"/>
      <c r="G22" s="76"/>
      <c r="H22" s="76"/>
      <c r="I22" s="76"/>
      <c r="J22" s="76"/>
      <c r="K22" s="76"/>
      <c r="L22" s="76"/>
      <c r="M22" s="76"/>
      <c r="N22" s="76"/>
      <c r="O22" s="76"/>
    </row>
  </sheetData>
  <mergeCells count="6">
    <mergeCell ref="C4:N4"/>
    <mergeCell ref="B18:O18"/>
    <mergeCell ref="B20:O20"/>
    <mergeCell ref="B22:O22"/>
    <mergeCell ref="B14:G14"/>
    <mergeCell ref="B16:M16"/>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B2:N25"/>
  <sheetViews>
    <sheetView showGridLines="0" showRowColHeaders="0" workbookViewId="0">
      <selection activeCell="B31" sqref="B31"/>
    </sheetView>
  </sheetViews>
  <sheetFormatPr defaultRowHeight="15"/>
  <sheetData>
    <row r="2" spans="2:2">
      <c r="B2" s="20" t="s">
        <v>155</v>
      </c>
    </row>
    <row r="21" spans="2:14">
      <c r="B21" s="35" t="s">
        <v>99</v>
      </c>
    </row>
    <row r="22" spans="2:14">
      <c r="B22" s="35"/>
    </row>
    <row r="23" spans="2:14" ht="26.25" customHeight="1">
      <c r="B23" s="75" t="s">
        <v>196</v>
      </c>
      <c r="C23" s="76"/>
      <c r="D23" s="76"/>
      <c r="E23" s="76"/>
      <c r="F23" s="76"/>
      <c r="G23" s="76"/>
      <c r="H23" s="76"/>
      <c r="I23" s="76"/>
      <c r="J23" s="76"/>
      <c r="K23" s="76"/>
      <c r="L23" s="76"/>
      <c r="M23" s="76"/>
      <c r="N23" s="76"/>
    </row>
    <row r="24" spans="2:14">
      <c r="B24" s="26"/>
      <c r="C24" s="25"/>
      <c r="D24" s="25"/>
      <c r="E24" s="25"/>
      <c r="F24" s="25"/>
      <c r="G24" s="25"/>
      <c r="H24" s="25"/>
      <c r="I24" s="25"/>
      <c r="J24" s="25"/>
      <c r="K24" s="25"/>
      <c r="L24" s="25"/>
      <c r="M24" s="25"/>
      <c r="N24" s="25"/>
    </row>
    <row r="25" spans="2:14" ht="27" customHeight="1">
      <c r="B25" s="76"/>
      <c r="C25" s="76"/>
      <c r="D25" s="76"/>
      <c r="E25" s="76"/>
      <c r="F25" s="76"/>
      <c r="G25" s="76"/>
      <c r="H25" s="76"/>
      <c r="I25" s="76"/>
      <c r="J25" s="76"/>
      <c r="K25" s="76"/>
      <c r="L25" s="76"/>
      <c r="M25" s="76"/>
      <c r="N25" s="76"/>
    </row>
  </sheetData>
  <mergeCells count="2">
    <mergeCell ref="B23:N23"/>
    <mergeCell ref="B25:N2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D9:L9"/>
  <sheetViews>
    <sheetView showGridLines="0" showRowColHeaders="0" workbookViewId="0">
      <selection activeCell="F40" sqref="F40"/>
    </sheetView>
  </sheetViews>
  <sheetFormatPr defaultRowHeight="15"/>
  <sheetData>
    <row r="9" spans="4:12" ht="23.25">
      <c r="D9" s="89" t="s">
        <v>65</v>
      </c>
      <c r="E9" s="89"/>
      <c r="F9" s="89"/>
      <c r="G9" s="89"/>
      <c r="H9" s="89"/>
      <c r="I9" s="89"/>
      <c r="J9" s="89"/>
      <c r="K9" s="89"/>
      <c r="L9" s="89"/>
    </row>
  </sheetData>
  <mergeCells count="1">
    <mergeCell ref="D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8"/>
  <sheetViews>
    <sheetView showGridLines="0" showRowColHeaders="0" workbookViewId="0">
      <selection activeCell="A14" sqref="A14"/>
    </sheetView>
  </sheetViews>
  <sheetFormatPr defaultRowHeight="15"/>
  <cols>
    <col min="1" max="1" width="45.28515625" customWidth="1"/>
  </cols>
  <sheetData>
    <row r="1" spans="1:1" ht="50.25" customHeight="1">
      <c r="A1" s="54" t="s">
        <v>151</v>
      </c>
    </row>
    <row r="2" spans="1:1">
      <c r="A2" s="55"/>
    </row>
    <row r="3" spans="1:1" ht="227.25" customHeight="1">
      <c r="A3" s="56" t="s">
        <v>184</v>
      </c>
    </row>
    <row r="4" spans="1:1">
      <c r="A4" s="55"/>
    </row>
    <row r="5" spans="1:1">
      <c r="A5" s="57" t="s">
        <v>174</v>
      </c>
    </row>
    <row r="6" spans="1:1" ht="17.25" customHeight="1">
      <c r="A6" s="58" t="s">
        <v>175</v>
      </c>
    </row>
    <row r="7" spans="1:1" ht="16.5" customHeight="1">
      <c r="A7" s="58" t="s">
        <v>176</v>
      </c>
    </row>
    <row r="8" spans="1:1" ht="28.5" customHeight="1">
      <c r="A8" s="58" t="s">
        <v>177</v>
      </c>
    </row>
    <row r="9" spans="1:1" ht="16.5" customHeight="1">
      <c r="A9" s="58" t="s">
        <v>178</v>
      </c>
    </row>
    <row r="10" spans="1:1">
      <c r="A10" s="58"/>
    </row>
    <row r="11" spans="1:1">
      <c r="A11" s="57" t="s">
        <v>179</v>
      </c>
    </row>
    <row r="12" spans="1:1">
      <c r="A12" s="59">
        <v>41593</v>
      </c>
    </row>
    <row r="13" spans="1:1">
      <c r="A13" s="58" t="s">
        <v>198</v>
      </c>
    </row>
    <row r="14" spans="1:1">
      <c r="A14" s="57" t="s">
        <v>180</v>
      </c>
    </row>
    <row r="15" spans="1:1" ht="15.75" customHeight="1">
      <c r="A15" s="58" t="s">
        <v>181</v>
      </c>
    </row>
    <row r="16" spans="1:1">
      <c r="A16" s="58"/>
    </row>
    <row r="17" spans="1:1">
      <c r="A17" s="57" t="s">
        <v>182</v>
      </c>
    </row>
    <row r="18" spans="1:1" ht="38.25">
      <c r="A18" s="58" t="s">
        <v>183</v>
      </c>
    </row>
  </sheetData>
  <hyperlinks>
    <hyperlink ref="A18"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B2:B20"/>
  <sheetViews>
    <sheetView showGridLines="0" showRowColHeaders="0" workbookViewId="0">
      <selection activeCell="J23" sqref="J23"/>
    </sheetView>
  </sheetViews>
  <sheetFormatPr defaultRowHeight="15"/>
  <sheetData>
    <row r="2" spans="2:2">
      <c r="B2" s="10" t="s">
        <v>156</v>
      </c>
    </row>
    <row r="20" spans="2:2">
      <c r="B20" s="43" t="s">
        <v>105</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B2:B20"/>
  <sheetViews>
    <sheetView showGridLines="0" showRowColHeaders="0" workbookViewId="0">
      <selection activeCell="I27" sqref="I27"/>
    </sheetView>
  </sheetViews>
  <sheetFormatPr defaultRowHeight="15"/>
  <sheetData>
    <row r="2" spans="2:2">
      <c r="B2" s="10" t="s">
        <v>157</v>
      </c>
    </row>
    <row r="20" spans="2:2">
      <c r="B20" s="43" t="s">
        <v>105</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B2:B20"/>
  <sheetViews>
    <sheetView showGridLines="0" showRowColHeaders="0" workbookViewId="0">
      <selection activeCell="J24" sqref="J24"/>
    </sheetView>
  </sheetViews>
  <sheetFormatPr defaultRowHeight="15"/>
  <sheetData>
    <row r="2" spans="2:2">
      <c r="B2" s="10" t="s">
        <v>158</v>
      </c>
    </row>
    <row r="20" spans="2:2">
      <c r="B20" s="43" t="s">
        <v>105</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B2:B20"/>
  <sheetViews>
    <sheetView showGridLines="0" showRowColHeaders="0" workbookViewId="0">
      <selection activeCell="H20" sqref="H20"/>
    </sheetView>
  </sheetViews>
  <sheetFormatPr defaultRowHeight="15"/>
  <sheetData>
    <row r="2" spans="2:2">
      <c r="B2" s="10" t="s">
        <v>219</v>
      </c>
    </row>
    <row r="20" spans="2:2">
      <c r="B20" s="43" t="s">
        <v>105</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B2:B20"/>
  <sheetViews>
    <sheetView showGridLines="0" showRowColHeaders="0" workbookViewId="0">
      <selection activeCell="I22" sqref="I22"/>
    </sheetView>
  </sheetViews>
  <sheetFormatPr defaultRowHeight="15"/>
  <sheetData>
    <row r="2" spans="2:2">
      <c r="B2" s="10" t="s">
        <v>159</v>
      </c>
    </row>
    <row r="20" spans="2:2">
      <c r="B20" s="43" t="s">
        <v>105</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B2:B20"/>
  <sheetViews>
    <sheetView showGridLines="0" showRowColHeaders="0" workbookViewId="0">
      <selection activeCell="J28" sqref="J28"/>
    </sheetView>
  </sheetViews>
  <sheetFormatPr defaultRowHeight="15"/>
  <sheetData>
    <row r="2" spans="2:2">
      <c r="B2" s="10" t="s">
        <v>160</v>
      </c>
    </row>
    <row r="20" spans="2:2">
      <c r="B20" s="43" t="s">
        <v>105</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B2:B25"/>
  <sheetViews>
    <sheetView showGridLines="0" showRowColHeaders="0" workbookViewId="0">
      <selection activeCell="L27" sqref="L27"/>
    </sheetView>
  </sheetViews>
  <sheetFormatPr defaultRowHeight="15"/>
  <sheetData>
    <row r="2" spans="2:2">
      <c r="B2" s="17" t="s">
        <v>220</v>
      </c>
    </row>
    <row r="24" spans="2:2">
      <c r="B24" s="43" t="s">
        <v>106</v>
      </c>
    </row>
    <row r="25" spans="2:2">
      <c r="B25" s="43" t="s">
        <v>108</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B2:B26"/>
  <sheetViews>
    <sheetView showGridLines="0" showRowColHeaders="0" topLeftCell="A19" workbookViewId="0">
      <selection activeCell="B55" sqref="B55"/>
    </sheetView>
  </sheetViews>
  <sheetFormatPr defaultRowHeight="15"/>
  <sheetData>
    <row r="2" spans="2:2">
      <c r="B2" s="17" t="s">
        <v>221</v>
      </c>
    </row>
    <row r="25" spans="2:2">
      <c r="B25" s="43" t="s">
        <v>106</v>
      </c>
    </row>
    <row r="26" spans="2:2">
      <c r="B26" s="43" t="s">
        <v>109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2:N36"/>
  <sheetViews>
    <sheetView showGridLines="0" showRowColHeaders="0" topLeftCell="A2" workbookViewId="0">
      <selection activeCell="C6" sqref="C6:N6"/>
    </sheetView>
  </sheetViews>
  <sheetFormatPr defaultRowHeight="15"/>
  <sheetData>
    <row r="2" spans="2:14" ht="23.25">
      <c r="B2" s="64" t="s">
        <v>52</v>
      </c>
      <c r="C2" s="64"/>
      <c r="D2" s="64"/>
      <c r="E2" s="64"/>
      <c r="F2" s="64"/>
      <c r="G2" s="64"/>
      <c r="H2" s="64"/>
      <c r="I2" s="64"/>
      <c r="J2" s="64"/>
      <c r="K2" s="64"/>
      <c r="L2" s="64"/>
      <c r="M2" s="64"/>
      <c r="N2" s="64"/>
    </row>
    <row r="4" spans="2:14" ht="18.75">
      <c r="B4" s="62" t="s">
        <v>57</v>
      </c>
      <c r="C4" s="62"/>
      <c r="D4" s="62"/>
      <c r="E4" s="62"/>
      <c r="F4" s="62"/>
      <c r="G4" s="62"/>
      <c r="H4" s="62"/>
      <c r="I4" s="62"/>
      <c r="J4" s="62"/>
      <c r="K4" s="62"/>
      <c r="L4" s="62"/>
      <c r="M4" s="62"/>
      <c r="N4" s="62"/>
    </row>
    <row r="6" spans="2:14">
      <c r="B6" s="10" t="s">
        <v>53</v>
      </c>
      <c r="C6" s="63" t="s">
        <v>129</v>
      </c>
      <c r="D6" s="63"/>
      <c r="E6" s="63"/>
      <c r="F6" s="63"/>
      <c r="G6" s="63"/>
      <c r="H6" s="63"/>
      <c r="I6" s="63"/>
      <c r="J6" s="63"/>
      <c r="K6" s="63"/>
      <c r="L6" s="63"/>
      <c r="M6" s="63"/>
      <c r="N6" s="63"/>
    </row>
    <row r="7" spans="2:14">
      <c r="B7" s="10" t="s">
        <v>54</v>
      </c>
      <c r="C7" s="63" t="s">
        <v>64</v>
      </c>
      <c r="D7" s="63"/>
      <c r="E7" s="63"/>
      <c r="F7" s="63"/>
      <c r="G7" s="63"/>
      <c r="H7" s="63"/>
      <c r="I7" s="63"/>
      <c r="J7" s="63"/>
      <c r="K7" s="63"/>
      <c r="L7" s="63"/>
      <c r="M7" s="63"/>
      <c r="N7" s="63"/>
    </row>
    <row r="8" spans="2:14">
      <c r="B8" s="10" t="s">
        <v>56</v>
      </c>
      <c r="C8" s="63" t="s">
        <v>130</v>
      </c>
      <c r="D8" s="63"/>
      <c r="E8" s="63"/>
      <c r="F8" s="63"/>
      <c r="G8" s="63"/>
      <c r="H8" s="63"/>
      <c r="I8" s="63"/>
      <c r="J8" s="63"/>
      <c r="K8" s="63"/>
      <c r="L8" s="63"/>
      <c r="M8" s="63"/>
      <c r="N8" s="63"/>
    </row>
    <row r="9" spans="2:14">
      <c r="B9" s="10" t="s">
        <v>55</v>
      </c>
      <c r="C9" s="47" t="s">
        <v>131</v>
      </c>
      <c r="D9" s="23"/>
      <c r="E9" s="23"/>
      <c r="F9" s="23"/>
      <c r="G9" s="23"/>
      <c r="H9" s="23"/>
      <c r="I9" s="23"/>
      <c r="J9" s="23"/>
      <c r="K9" s="23"/>
      <c r="L9" s="23"/>
      <c r="M9" s="23"/>
      <c r="N9" s="23"/>
    </row>
    <row r="10" spans="2:14">
      <c r="B10" s="10" t="s">
        <v>78</v>
      </c>
      <c r="C10" s="47" t="s">
        <v>132</v>
      </c>
      <c r="D10" s="23"/>
      <c r="E10" s="23"/>
      <c r="F10" s="23"/>
      <c r="G10" s="23"/>
      <c r="H10" s="23"/>
      <c r="I10" s="23"/>
      <c r="J10" s="23"/>
      <c r="K10" s="23"/>
      <c r="L10" s="23"/>
      <c r="M10" s="23"/>
      <c r="N10" s="23"/>
    </row>
    <row r="11" spans="2:14">
      <c r="B11" s="10" t="s">
        <v>77</v>
      </c>
      <c r="C11" s="63" t="s">
        <v>133</v>
      </c>
      <c r="D11" s="63"/>
      <c r="E11" s="63"/>
      <c r="F11" s="63"/>
      <c r="G11" s="63"/>
      <c r="H11" s="63"/>
      <c r="I11" s="63"/>
      <c r="J11" s="63"/>
      <c r="K11" s="63"/>
      <c r="L11" s="63"/>
      <c r="M11" s="63"/>
      <c r="N11" s="63"/>
    </row>
    <row r="13" spans="2:14" ht="18.75">
      <c r="B13" s="62" t="s">
        <v>58</v>
      </c>
      <c r="C13" s="62"/>
      <c r="D13" s="62"/>
      <c r="E13" s="62"/>
      <c r="F13" s="62"/>
      <c r="G13" s="62"/>
      <c r="H13" s="62"/>
      <c r="I13" s="62"/>
      <c r="J13" s="62"/>
      <c r="K13" s="62"/>
      <c r="L13" s="62"/>
      <c r="M13" s="62"/>
      <c r="N13" s="62"/>
    </row>
    <row r="15" spans="2:14">
      <c r="B15" s="10" t="s">
        <v>59</v>
      </c>
      <c r="C15" s="21" t="s">
        <v>134</v>
      </c>
      <c r="D15" s="21"/>
      <c r="E15" s="21"/>
      <c r="F15" s="21"/>
      <c r="G15" s="21"/>
      <c r="H15" s="21"/>
      <c r="I15" s="21"/>
      <c r="J15" s="21"/>
    </row>
    <row r="16" spans="2:14">
      <c r="B16" s="10" t="s">
        <v>60</v>
      </c>
      <c r="C16" s="47" t="s">
        <v>135</v>
      </c>
      <c r="D16" s="23"/>
      <c r="E16" s="23"/>
      <c r="F16" s="23"/>
      <c r="G16" s="23"/>
      <c r="H16" s="23"/>
      <c r="I16" s="23"/>
      <c r="J16" s="23"/>
      <c r="K16" s="23"/>
      <c r="L16" s="23"/>
      <c r="M16" s="23"/>
      <c r="N16" s="23"/>
    </row>
    <row r="17" spans="2:14">
      <c r="B17" s="10" t="s">
        <v>61</v>
      </c>
      <c r="C17" s="63" t="s">
        <v>136</v>
      </c>
      <c r="D17" s="63"/>
      <c r="E17" s="63"/>
      <c r="F17" s="63"/>
      <c r="G17" s="63"/>
      <c r="H17" s="63"/>
      <c r="I17" s="63"/>
      <c r="J17" s="63"/>
      <c r="K17" s="63"/>
      <c r="L17" s="63"/>
      <c r="M17" s="63"/>
      <c r="N17" s="63"/>
    </row>
    <row r="18" spans="2:14">
      <c r="B18" s="10" t="s">
        <v>62</v>
      </c>
      <c r="C18" s="21" t="s">
        <v>137</v>
      </c>
      <c r="D18" s="21"/>
      <c r="E18" s="21"/>
      <c r="F18" s="21"/>
      <c r="G18" s="21"/>
      <c r="H18" s="21"/>
      <c r="I18" s="21"/>
      <c r="J18" s="21"/>
      <c r="K18" s="21"/>
      <c r="L18" s="21"/>
      <c r="M18" s="21"/>
      <c r="N18" s="21"/>
    </row>
    <row r="19" spans="2:14">
      <c r="B19" s="10" t="s">
        <v>84</v>
      </c>
      <c r="C19" s="21" t="s">
        <v>138</v>
      </c>
      <c r="D19" s="21"/>
      <c r="E19" s="21"/>
      <c r="F19" s="21"/>
      <c r="G19" s="21"/>
      <c r="H19" s="21"/>
      <c r="I19" s="21"/>
      <c r="J19" s="21"/>
      <c r="K19" s="21"/>
      <c r="L19" s="21"/>
      <c r="M19" s="21"/>
      <c r="N19" s="21"/>
    </row>
    <row r="20" spans="2:14">
      <c r="B20" s="10" t="s">
        <v>63</v>
      </c>
      <c r="C20" s="21" t="s">
        <v>139</v>
      </c>
      <c r="D20" s="21"/>
      <c r="E20" s="21"/>
      <c r="F20" s="21"/>
      <c r="G20" s="21"/>
      <c r="H20" s="21"/>
      <c r="I20" s="21"/>
      <c r="J20" s="21"/>
      <c r="K20" s="21"/>
      <c r="L20" s="21"/>
      <c r="M20" s="21"/>
      <c r="N20" s="21"/>
    </row>
    <row r="21" spans="2:14">
      <c r="B21" s="10" t="s">
        <v>85</v>
      </c>
      <c r="C21" s="21" t="s">
        <v>131</v>
      </c>
      <c r="D21" s="21"/>
      <c r="E21" s="21"/>
      <c r="F21" s="21"/>
      <c r="G21" s="21"/>
      <c r="H21" s="21"/>
      <c r="I21" s="21"/>
      <c r="J21" s="21"/>
      <c r="K21" s="21"/>
    </row>
    <row r="22" spans="2:14">
      <c r="B22" s="10" t="s">
        <v>66</v>
      </c>
      <c r="C22" s="47" t="s">
        <v>132</v>
      </c>
      <c r="D22" s="23"/>
      <c r="E22" s="23"/>
      <c r="F22" s="23"/>
      <c r="G22" s="23"/>
      <c r="H22" s="23"/>
      <c r="I22" s="23"/>
      <c r="J22" s="23"/>
      <c r="K22" s="23"/>
      <c r="L22" s="23"/>
      <c r="M22" s="23"/>
      <c r="N22" s="23"/>
    </row>
    <row r="23" spans="2:14">
      <c r="B23" s="10" t="s">
        <v>67</v>
      </c>
      <c r="C23" s="47" t="s">
        <v>140</v>
      </c>
      <c r="D23" s="23"/>
      <c r="E23" s="23"/>
      <c r="F23" s="23"/>
      <c r="G23" s="23"/>
      <c r="H23" s="23"/>
      <c r="I23" s="23"/>
      <c r="J23" s="23"/>
      <c r="K23" s="23"/>
      <c r="L23" s="23"/>
      <c r="M23" s="23"/>
      <c r="N23" s="23"/>
    </row>
    <row r="24" spans="2:14">
      <c r="B24" s="10" t="s">
        <v>68</v>
      </c>
      <c r="C24" s="63" t="s">
        <v>141</v>
      </c>
      <c r="D24" s="63"/>
      <c r="E24" s="63"/>
      <c r="F24" s="63"/>
      <c r="G24" s="63"/>
      <c r="H24" s="63"/>
      <c r="I24" s="63"/>
      <c r="J24" s="63"/>
      <c r="K24" s="63"/>
      <c r="L24" s="63"/>
      <c r="M24" s="63"/>
      <c r="N24" s="63"/>
    </row>
    <row r="26" spans="2:14" ht="18.75">
      <c r="B26" s="62" t="s">
        <v>65</v>
      </c>
      <c r="C26" s="62"/>
      <c r="D26" s="62"/>
      <c r="E26" s="62"/>
      <c r="F26" s="62"/>
      <c r="G26" s="62"/>
      <c r="H26" s="62"/>
      <c r="I26" s="62"/>
      <c r="J26" s="62"/>
      <c r="K26" s="62"/>
      <c r="L26" s="62"/>
      <c r="M26" s="62"/>
      <c r="N26" s="62"/>
    </row>
    <row r="28" spans="2:14">
      <c r="B28" s="10" t="s">
        <v>69</v>
      </c>
      <c r="C28" s="21" t="s">
        <v>142</v>
      </c>
      <c r="D28" s="21"/>
      <c r="E28" s="21"/>
      <c r="F28" s="21"/>
      <c r="G28" s="21"/>
      <c r="H28" s="21"/>
      <c r="I28" s="21"/>
      <c r="J28" s="21"/>
      <c r="K28" s="21"/>
      <c r="L28" s="21"/>
      <c r="M28" s="21"/>
    </row>
    <row r="29" spans="2:14">
      <c r="B29" s="10" t="s">
        <v>70</v>
      </c>
      <c r="C29" s="21" t="s">
        <v>143</v>
      </c>
      <c r="D29" s="21"/>
      <c r="E29" s="21"/>
      <c r="F29" s="21"/>
      <c r="G29" s="21"/>
      <c r="H29" s="21"/>
      <c r="I29" s="21"/>
      <c r="J29" s="21"/>
      <c r="K29" s="21"/>
      <c r="L29" s="21"/>
      <c r="M29" s="21"/>
    </row>
    <row r="30" spans="2:14">
      <c r="B30" s="10" t="s">
        <v>71</v>
      </c>
      <c r="C30" s="21" t="s">
        <v>144</v>
      </c>
      <c r="D30" s="21"/>
      <c r="E30" s="21"/>
      <c r="F30" s="21"/>
      <c r="G30" s="21"/>
      <c r="H30" s="21"/>
      <c r="I30" s="21"/>
      <c r="J30" s="21"/>
      <c r="K30" s="21"/>
      <c r="L30" s="21"/>
      <c r="M30" s="21"/>
    </row>
    <row r="31" spans="2:14">
      <c r="B31" s="10" t="s">
        <v>79</v>
      </c>
      <c r="C31" s="21" t="s">
        <v>145</v>
      </c>
      <c r="D31" s="21"/>
      <c r="E31" s="21"/>
      <c r="F31" s="21"/>
      <c r="G31" s="21"/>
      <c r="H31" s="21"/>
      <c r="I31" s="21"/>
      <c r="J31" s="21"/>
      <c r="K31" s="21"/>
      <c r="L31" s="21"/>
      <c r="M31" s="21"/>
    </row>
    <row r="32" spans="2:14">
      <c r="B32" s="10" t="s">
        <v>80</v>
      </c>
      <c r="C32" s="21" t="s">
        <v>146</v>
      </c>
      <c r="D32" s="21"/>
      <c r="E32" s="21"/>
      <c r="F32" s="21"/>
      <c r="G32" s="21"/>
      <c r="H32" s="21"/>
      <c r="I32" s="21"/>
      <c r="J32" s="21"/>
      <c r="K32" s="21"/>
      <c r="L32" s="21"/>
      <c r="M32" s="21"/>
    </row>
    <row r="33" spans="2:13">
      <c r="B33" s="10" t="s">
        <v>81</v>
      </c>
      <c r="C33" s="21" t="s">
        <v>147</v>
      </c>
      <c r="D33" s="21"/>
      <c r="E33" s="21"/>
      <c r="F33" s="21"/>
      <c r="G33" s="21"/>
      <c r="H33" s="21"/>
      <c r="I33" s="21"/>
      <c r="J33" s="21"/>
      <c r="K33" s="21"/>
      <c r="L33" s="21"/>
      <c r="M33" s="21"/>
    </row>
    <row r="34" spans="2:13">
      <c r="B34" s="10" t="s">
        <v>82</v>
      </c>
      <c r="C34" s="21" t="s">
        <v>148</v>
      </c>
      <c r="D34" s="21"/>
      <c r="E34" s="21"/>
      <c r="F34" s="21"/>
      <c r="G34" s="21"/>
      <c r="H34" s="21"/>
      <c r="I34" s="21"/>
    </row>
    <row r="35" spans="2:13">
      <c r="B35" s="10" t="s">
        <v>83</v>
      </c>
      <c r="C35" s="21" t="s">
        <v>149</v>
      </c>
      <c r="D35" s="21"/>
      <c r="E35" s="21"/>
      <c r="F35" s="21"/>
      <c r="G35" s="21"/>
      <c r="H35" s="21"/>
      <c r="I35" s="21"/>
    </row>
    <row r="36" spans="2:13">
      <c r="B36" s="10" t="s">
        <v>128</v>
      </c>
      <c r="C36" s="21" t="s">
        <v>150</v>
      </c>
    </row>
  </sheetData>
  <mergeCells count="10">
    <mergeCell ref="B26:N26"/>
    <mergeCell ref="C24:N24"/>
    <mergeCell ref="B2:N2"/>
    <mergeCell ref="B4:N4"/>
    <mergeCell ref="B13:N13"/>
    <mergeCell ref="C6:N6"/>
    <mergeCell ref="C7:N7"/>
    <mergeCell ref="C8:N8"/>
    <mergeCell ref="C11:N11"/>
    <mergeCell ref="C17:N17"/>
  </mergeCells>
  <hyperlinks>
    <hyperlink ref="C6:N6" location="'Table 1.1'!A1" display="Child Protection Register by Age at 30 September 2012"/>
    <hyperlink ref="C7:N7" location="'Table 1.2'!A1" display="Child Protection Register per 10,000 of the Population Under 18 Years"/>
    <hyperlink ref="C8:N8" location="'Table 1.3'!A1" display="Legal Status of Children on the Child Protection Register at 30 September 2012"/>
    <hyperlink ref="C11:N11" location="'Table 1.6'!A1" display="Child Protection Referrals by Source of Referral for Quarter Ending 30 September 2012"/>
    <hyperlink ref="C17:N17" location="'Figure 3'!A1" display="The Age Profile of Children on the Child Protection Register at 30 September 2012"/>
    <hyperlink ref="C18:N18" location="'Figure 2'!A1" display="Child Protection Register Counts by Trust 31 March 2010 - 30 June 2012"/>
    <hyperlink ref="C19:N19" location="'Figure 5'!A1" display="Children on the Child Protection Register per 10,000 Population Under 18 Years 31 March 2010 - 30 September 2012"/>
    <hyperlink ref="C20:N20" location="'Figure 4'!A1" display="Legal Status of Children on the Child Protection Register 31 March 2010 - 30 June 2012"/>
    <hyperlink ref="C23:N23" location="'Figure 5'!A1" display="Source of Child Protection Referrals in Northern Ireland 31 March 2010 - 30 June 2012"/>
    <hyperlink ref="C24:N24" location="'Figure 10'!A1" display="Child Protection Referrals by Trust 31 March 2010 - 30 September 2012"/>
    <hyperlink ref="C28" location="'Figure 8'!A1" display="Child Protection Register and Referral Counts for the Belfast HSC Trust 31 March 2010 - 30 June 2012"/>
    <hyperlink ref="C29" location="'Figure 9'!A1" display="Child Protection Register and Referral Counts for the Northern HSC Trust 31 March 2010 - 30 June 2012"/>
    <hyperlink ref="C30" location="'Figure 10'!A1" display="Child Protection Register and Referral Counts for the South Eastern HSC Trust 31 March 2010 - 30 June 2012"/>
    <hyperlink ref="C31" location="'Figure 11'!A1" display="Child Protection Register and Referral Counts for the Southern HSC Trust 31 March 2010 - 30 June 2012"/>
    <hyperlink ref="C32" location="'Figure 12'!A1" display="Child Protection Register and Referral Counts for the Western HSC Trust 31 March 2010 - 30 June 2012"/>
    <hyperlink ref="C33" location="'Figure 13'!A1" display="Child Protection Register and Referral Counts for Northern Ireland 31 March 2010 - 30 June 2012"/>
    <hyperlink ref="C9:K9" location="'Table 1.4'!A1" display="Children on the Child Protection Register by Category of Abuse at 30 September 2012"/>
    <hyperlink ref="C10:J10" location="'Table 1.5'!A1" display="Children on the Child Protection Register by Duration at 30 September 2012"/>
    <hyperlink ref="C15:J15" location="Overview!A1" display="Children on the Child Protection Register 31 March 2002 - 30 September 2012"/>
    <hyperlink ref="C16:I16" location="Overview!A1" display="Child Protection Referrals 31 March 2010 - 30 September 2012"/>
    <hyperlink ref="C18:J18" location="'Figure 4'!A1" display="Child Protection Register Counts by Trust 31 March 2010 - 30 September 2012"/>
    <hyperlink ref="C20:K20" location="'Figure 6'!A1" display="Legal Status of Children on the Child Protection Register 31 March 2010 - 30 September 2012"/>
    <hyperlink ref="C21:K21" location="'Figure 7'!A1" display="Children on the Child Protection Register by Category of Abuse at 30 September 2012"/>
    <hyperlink ref="C22:J22" location="'Figure 8'!A1" display="Children on the Child Protection Register by Duration at 30 September 2012"/>
    <hyperlink ref="C23:K23" location="'Figure 9'!A1" display="Source of Child Protection Referrals in Northern Ireland 31 March 2010 - 30 September 2012"/>
    <hyperlink ref="B26:C26" location="Appendix!A1" display="Appendix"/>
    <hyperlink ref="C28:M28" location="'Figure 11'!A1" display="Child Protection Register and Referral Counts for the Belfast HSC Trust 31 March 2010 - 30 September 2012"/>
    <hyperlink ref="C29:M29" location="'Figure 12'!A1" display="Child Protection Register and Referral Counts for the Northern HSC Trust 31 March 2010 - 30 September 2012"/>
    <hyperlink ref="C30:M30" location="'Figure 13'!A1" display="Child Protection Register and Referral Counts for the South Eastern HSC Trust 31 March 2010 - 30 September 2012"/>
    <hyperlink ref="C31:M31" location="'Figure 14'!A1" display="Child Protection Register and Referral Counts for the Southern HSC Trust 31 March 2010 - 30 September 2012"/>
    <hyperlink ref="C32:M32" location="'Figure 15'!A1" display="Child Protection Register and Referral Counts for the Western HSC Trust 31 March 2010 - 30 September 2012"/>
    <hyperlink ref="C33:M33" location="'Figure 16'!A1" display="Child Protection Register and Referral Counts for Northern Ireland 31 March 2010 - 30 September 2012"/>
    <hyperlink ref="C34:I34" location="'Figure 17'!A1" display="Child Protection Register by Ethnic Origin at 30 September 2012"/>
    <hyperlink ref="C35:I35" location="'Figure 18'!A1" display="Child Protection Register by Religion at 30 September 2012"/>
    <hyperlink ref="C36" location="'Table 1A'!A1" display="Legal Staus of Children on the Child Protection Register at 30 June 2013 (Trust Level)"/>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M53"/>
  <sheetViews>
    <sheetView showGridLines="0" showRowColHeaders="0" workbookViewId="0">
      <selection activeCell="B89" sqref="B89"/>
    </sheetView>
  </sheetViews>
  <sheetFormatPr defaultRowHeight="15"/>
  <cols>
    <col min="2" max="2" width="28.5703125" customWidth="1"/>
  </cols>
  <sheetData>
    <row r="1" spans="2:13">
      <c r="B1" s="22" t="s">
        <v>72</v>
      </c>
    </row>
    <row r="2" spans="2:13">
      <c r="B2" s="22"/>
    </row>
    <row r="3" spans="2:13" ht="16.5" customHeight="1">
      <c r="B3" s="22" t="s">
        <v>73</v>
      </c>
    </row>
    <row r="4" spans="2:13">
      <c r="B4" s="22"/>
    </row>
    <row r="5" spans="2:13" ht="60" customHeight="1">
      <c r="B5" s="65" t="s">
        <v>199</v>
      </c>
      <c r="C5" s="65"/>
      <c r="D5" s="65"/>
      <c r="E5" s="65"/>
      <c r="F5" s="65"/>
      <c r="G5" s="65"/>
      <c r="H5" s="65"/>
      <c r="I5" s="65"/>
      <c r="J5" s="65"/>
      <c r="K5" s="65"/>
      <c r="L5" s="65"/>
      <c r="M5" s="65"/>
    </row>
    <row r="7" spans="2:13">
      <c r="B7" s="66" t="s">
        <v>200</v>
      </c>
      <c r="C7" s="66"/>
      <c r="D7" s="66"/>
      <c r="E7" s="66"/>
      <c r="F7" s="66"/>
      <c r="G7" s="66"/>
      <c r="H7" s="66"/>
      <c r="I7" s="66"/>
      <c r="J7" s="66"/>
      <c r="K7" s="66"/>
      <c r="L7" s="66"/>
      <c r="M7" s="66"/>
    </row>
    <row r="31" spans="2:2">
      <c r="B31" s="36" t="s">
        <v>98</v>
      </c>
    </row>
    <row r="34" spans="2:13">
      <c r="B34" s="22" t="s">
        <v>74</v>
      </c>
    </row>
    <row r="35" spans="2:13">
      <c r="B35" s="22"/>
    </row>
    <row r="36" spans="2:13" ht="63" customHeight="1">
      <c r="B36" s="65" t="s">
        <v>185</v>
      </c>
      <c r="C36" s="65"/>
      <c r="D36" s="65"/>
      <c r="E36" s="65"/>
      <c r="F36" s="65"/>
      <c r="G36" s="65"/>
      <c r="H36" s="65"/>
      <c r="I36" s="65"/>
      <c r="J36" s="65"/>
      <c r="K36" s="65"/>
      <c r="L36" s="65"/>
      <c r="M36" s="65"/>
    </row>
    <row r="38" spans="2:13">
      <c r="B38" s="66" t="s">
        <v>152</v>
      </c>
      <c r="C38" s="66"/>
      <c r="D38" s="66"/>
      <c r="E38" s="66"/>
      <c r="F38" s="66"/>
      <c r="G38" s="66"/>
      <c r="H38" s="66"/>
      <c r="I38" s="66"/>
      <c r="J38" s="66"/>
      <c r="K38" s="66"/>
      <c r="L38" s="66"/>
      <c r="M38" s="66"/>
    </row>
    <row r="53" spans="2:2" ht="18" customHeight="1">
      <c r="B53" s="36" t="s">
        <v>99</v>
      </c>
    </row>
  </sheetData>
  <mergeCells count="4">
    <mergeCell ref="B5:M5"/>
    <mergeCell ref="B7:M7"/>
    <mergeCell ref="B36:M36"/>
    <mergeCell ref="B38:M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B1:M21"/>
  <sheetViews>
    <sheetView showGridLines="0" showRowColHeaders="0" zoomScaleNormal="100" workbookViewId="0">
      <selection activeCell="B4" sqref="B4:B5"/>
    </sheetView>
  </sheetViews>
  <sheetFormatPr defaultRowHeight="15"/>
  <cols>
    <col min="2" max="2" width="14.140625" customWidth="1"/>
    <col min="9" max="9" width="11" customWidth="1"/>
  </cols>
  <sheetData>
    <row r="1" spans="2:13" ht="28.5" customHeight="1">
      <c r="B1" s="67" t="s">
        <v>112</v>
      </c>
      <c r="C1" s="67"/>
      <c r="D1" s="67"/>
      <c r="E1" s="67"/>
      <c r="F1" s="67"/>
      <c r="G1" s="67"/>
      <c r="H1" s="67"/>
      <c r="I1" s="67"/>
      <c r="J1" s="67"/>
      <c r="K1" s="67"/>
      <c r="L1" s="67"/>
      <c r="M1" s="67"/>
    </row>
    <row r="3" spans="2:13">
      <c r="B3" s="10" t="s">
        <v>205</v>
      </c>
    </row>
    <row r="4" spans="2:13">
      <c r="B4" s="70" t="s">
        <v>0</v>
      </c>
      <c r="C4" s="72" t="s">
        <v>1</v>
      </c>
      <c r="D4" s="73"/>
      <c r="E4" s="73"/>
      <c r="F4" s="73"/>
      <c r="G4" s="73"/>
      <c r="H4" s="73"/>
      <c r="I4" s="74"/>
    </row>
    <row r="5" spans="2:13" ht="36.75" customHeight="1">
      <c r="B5" s="71"/>
      <c r="C5" s="1" t="s">
        <v>2</v>
      </c>
      <c r="D5" s="1" t="s">
        <v>3</v>
      </c>
      <c r="E5" s="1" t="s">
        <v>4</v>
      </c>
      <c r="F5" s="1" t="s">
        <v>5</v>
      </c>
      <c r="G5" s="1" t="s">
        <v>6</v>
      </c>
      <c r="H5" s="2" t="s">
        <v>7</v>
      </c>
      <c r="I5" s="2" t="s">
        <v>8</v>
      </c>
    </row>
    <row r="6" spans="2:13">
      <c r="B6" s="3" t="s">
        <v>9</v>
      </c>
      <c r="C6" s="4">
        <v>52</v>
      </c>
      <c r="D6" s="4">
        <v>120</v>
      </c>
      <c r="E6" s="4">
        <v>134</v>
      </c>
      <c r="F6" s="4">
        <v>71</v>
      </c>
      <c r="G6" s="4">
        <v>10</v>
      </c>
      <c r="H6" s="5">
        <f>SUM(C6:G6)</f>
        <v>387</v>
      </c>
      <c r="I6" s="6">
        <f>(H6)/74910*10000</f>
        <v>51.661994393271925</v>
      </c>
    </row>
    <row r="7" spans="2:13">
      <c r="B7" s="3" t="s">
        <v>10</v>
      </c>
      <c r="C7" s="4">
        <v>39</v>
      </c>
      <c r="D7" s="4">
        <v>128</v>
      </c>
      <c r="E7" s="4">
        <v>171</v>
      </c>
      <c r="F7" s="4">
        <v>82</v>
      </c>
      <c r="G7" s="4">
        <v>18</v>
      </c>
      <c r="H7" s="5">
        <f>SUM(C7:G7)</f>
        <v>438</v>
      </c>
      <c r="I7" s="6">
        <f>(H7)/108657*10000</f>
        <v>40.310334354896597</v>
      </c>
    </row>
    <row r="8" spans="2:13">
      <c r="B8" s="3" t="s">
        <v>11</v>
      </c>
      <c r="C8" s="4">
        <v>38</v>
      </c>
      <c r="D8" s="4">
        <v>121</v>
      </c>
      <c r="E8" s="4">
        <v>150</v>
      </c>
      <c r="F8" s="4">
        <v>72</v>
      </c>
      <c r="G8" s="4">
        <v>18</v>
      </c>
      <c r="H8" s="5">
        <f>SUM(C8:G8)</f>
        <v>399</v>
      </c>
      <c r="I8" s="6">
        <f>(H8)/80781*10000</f>
        <v>49.392802763025962</v>
      </c>
    </row>
    <row r="9" spans="2:13">
      <c r="B9" s="3" t="s">
        <v>12</v>
      </c>
      <c r="C9" s="4">
        <v>47</v>
      </c>
      <c r="D9" s="4">
        <v>99</v>
      </c>
      <c r="E9" s="4">
        <v>143</v>
      </c>
      <c r="F9" s="4">
        <v>63</v>
      </c>
      <c r="G9" s="4">
        <v>17</v>
      </c>
      <c r="H9" s="5">
        <f>SUM(C9:G9)</f>
        <v>369</v>
      </c>
      <c r="I9" s="6">
        <f>(H9)/93000*10000</f>
        <v>39.677419354838712</v>
      </c>
    </row>
    <row r="10" spans="2:13">
      <c r="B10" s="3" t="s">
        <v>13</v>
      </c>
      <c r="C10" s="4">
        <v>39</v>
      </c>
      <c r="D10" s="4">
        <v>99</v>
      </c>
      <c r="E10" s="4">
        <v>124</v>
      </c>
      <c r="F10" s="4">
        <v>63</v>
      </c>
      <c r="G10" s="4">
        <v>15</v>
      </c>
      <c r="H10" s="5">
        <f>SUM(C10:G10)</f>
        <v>340</v>
      </c>
      <c r="I10" s="6">
        <f>(H10)/74226*10000</f>
        <v>45.806051787783254</v>
      </c>
    </row>
    <row r="11" spans="2:13">
      <c r="B11" s="7" t="s">
        <v>14</v>
      </c>
      <c r="C11" s="8">
        <f t="shared" ref="C11:H11" si="0">SUM(C6:C10)</f>
        <v>215</v>
      </c>
      <c r="D11" s="8">
        <f t="shared" si="0"/>
        <v>567</v>
      </c>
      <c r="E11" s="8">
        <f t="shared" si="0"/>
        <v>722</v>
      </c>
      <c r="F11" s="8">
        <f t="shared" si="0"/>
        <v>351</v>
      </c>
      <c r="G11" s="8">
        <f t="shared" si="0"/>
        <v>78</v>
      </c>
      <c r="H11" s="8">
        <f t="shared" si="0"/>
        <v>1933</v>
      </c>
      <c r="I11" s="9">
        <f>(H11)/431574*10000</f>
        <v>44.789537831287333</v>
      </c>
    </row>
    <row r="12" spans="2:13">
      <c r="B12" s="36" t="s">
        <v>98</v>
      </c>
    </row>
    <row r="13" spans="2:13" ht="16.5" customHeight="1">
      <c r="B13" s="68" t="s">
        <v>186</v>
      </c>
      <c r="C13" s="68"/>
      <c r="D13" s="68"/>
      <c r="E13" s="68"/>
      <c r="F13" s="68"/>
      <c r="G13" s="68"/>
      <c r="H13" s="68"/>
      <c r="I13" s="68"/>
    </row>
    <row r="15" spans="2:13" ht="37.5" customHeight="1">
      <c r="B15" s="90" t="s">
        <v>201</v>
      </c>
      <c r="C15" s="76"/>
      <c r="D15" s="76"/>
      <c r="E15" s="76"/>
      <c r="F15" s="76"/>
      <c r="G15" s="76"/>
      <c r="H15" s="76"/>
      <c r="I15" s="76"/>
      <c r="J15" s="76"/>
      <c r="K15" s="76"/>
      <c r="L15" s="76"/>
      <c r="M15" s="76"/>
    </row>
    <row r="16" spans="2:13">
      <c r="B16" s="24"/>
      <c r="C16" s="25"/>
      <c r="D16" s="25"/>
      <c r="E16" s="25"/>
      <c r="F16" s="25"/>
      <c r="G16" s="25"/>
      <c r="H16" s="25"/>
      <c r="I16" s="25"/>
      <c r="J16" s="25"/>
      <c r="K16" s="25"/>
      <c r="L16" s="25"/>
      <c r="M16" s="25"/>
    </row>
    <row r="17" spans="2:13" ht="27.75" customHeight="1">
      <c r="B17" s="91" t="s">
        <v>202</v>
      </c>
      <c r="C17" s="76"/>
      <c r="D17" s="76"/>
      <c r="E17" s="76"/>
      <c r="F17" s="76"/>
      <c r="G17" s="76"/>
      <c r="H17" s="76"/>
      <c r="I17" s="76"/>
      <c r="J17" s="76"/>
      <c r="K17" s="76"/>
      <c r="L17" s="76"/>
      <c r="M17" s="76"/>
    </row>
    <row r="18" spans="2:13">
      <c r="B18" s="25"/>
      <c r="C18" s="25"/>
      <c r="D18" s="25"/>
      <c r="E18" s="25"/>
      <c r="F18" s="25"/>
      <c r="G18" s="25"/>
      <c r="H18" s="25"/>
      <c r="I18" s="25"/>
      <c r="J18" s="25"/>
      <c r="K18" s="25"/>
      <c r="L18" s="25"/>
      <c r="M18" s="25"/>
    </row>
    <row r="19" spans="2:13" ht="26.25" customHeight="1">
      <c r="B19" s="91" t="s">
        <v>203</v>
      </c>
      <c r="C19" s="76"/>
      <c r="D19" s="76"/>
      <c r="E19" s="76"/>
      <c r="F19" s="76"/>
      <c r="G19" s="76"/>
      <c r="H19" s="76"/>
      <c r="I19" s="76"/>
      <c r="J19" s="76"/>
      <c r="K19" s="76"/>
      <c r="L19" s="76"/>
      <c r="M19" s="76"/>
    </row>
    <row r="21" spans="2:13" ht="27.75" customHeight="1">
      <c r="B21" s="92" t="s">
        <v>204</v>
      </c>
      <c r="C21" s="67"/>
      <c r="D21" s="67"/>
      <c r="E21" s="67"/>
      <c r="F21" s="67"/>
      <c r="G21" s="67"/>
      <c r="H21" s="67"/>
      <c r="I21" s="67"/>
      <c r="J21" s="67"/>
      <c r="K21" s="67"/>
      <c r="L21" s="67"/>
      <c r="M21" s="67"/>
    </row>
  </sheetData>
  <mergeCells count="8">
    <mergeCell ref="B1:M1"/>
    <mergeCell ref="B13:I13"/>
    <mergeCell ref="B21:M21"/>
    <mergeCell ref="B4:B5"/>
    <mergeCell ref="C4:I4"/>
    <mergeCell ref="B15:M15"/>
    <mergeCell ref="B17:M17"/>
    <mergeCell ref="B19:M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B2:N25"/>
  <sheetViews>
    <sheetView showGridLines="0" showRowColHeaders="0" workbookViewId="0">
      <selection activeCell="B47" sqref="B47"/>
    </sheetView>
  </sheetViews>
  <sheetFormatPr defaultRowHeight="15"/>
  <sheetData>
    <row r="2" spans="2:2">
      <c r="B2" s="10" t="s">
        <v>206</v>
      </c>
    </row>
    <row r="20" spans="2:14" ht="11.25" customHeight="1"/>
    <row r="21" spans="2:14" ht="12" customHeight="1">
      <c r="B21" s="36" t="s">
        <v>98</v>
      </c>
    </row>
    <row r="23" spans="2:14" ht="27" customHeight="1">
      <c r="B23" s="75" t="s">
        <v>161</v>
      </c>
      <c r="C23" s="76"/>
      <c r="D23" s="76"/>
      <c r="E23" s="76"/>
      <c r="F23" s="76"/>
      <c r="G23" s="76"/>
      <c r="H23" s="76"/>
      <c r="I23" s="76"/>
      <c r="J23" s="76"/>
      <c r="K23" s="76"/>
      <c r="L23" s="76"/>
      <c r="M23" s="76"/>
      <c r="N23" s="76"/>
    </row>
    <row r="24" spans="2:14">
      <c r="B24" s="26"/>
      <c r="C24" s="25"/>
      <c r="D24" s="25"/>
      <c r="E24" s="25"/>
      <c r="F24" s="25"/>
      <c r="G24" s="25"/>
      <c r="H24" s="25"/>
      <c r="I24" s="25"/>
      <c r="J24" s="25"/>
      <c r="K24" s="25"/>
      <c r="L24" s="25"/>
      <c r="M24" s="25"/>
      <c r="N24" s="25"/>
    </row>
    <row r="25" spans="2:14" ht="51" customHeight="1">
      <c r="B25" s="76"/>
      <c r="C25" s="76"/>
      <c r="D25" s="76"/>
      <c r="E25" s="76"/>
      <c r="F25" s="76"/>
      <c r="G25" s="76"/>
      <c r="H25" s="76"/>
      <c r="I25" s="76"/>
      <c r="J25" s="76"/>
      <c r="K25" s="76"/>
      <c r="L25" s="76"/>
      <c r="M25" s="76"/>
      <c r="N25" s="76"/>
    </row>
  </sheetData>
  <mergeCells count="2">
    <mergeCell ref="B23:N23"/>
    <mergeCell ref="B25:N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N29"/>
  <sheetViews>
    <sheetView showGridLines="0" showRowColHeaders="0" workbookViewId="0">
      <selection activeCell="B26" sqref="B26"/>
    </sheetView>
  </sheetViews>
  <sheetFormatPr defaultRowHeight="15"/>
  <sheetData>
    <row r="2" spans="2:2">
      <c r="B2" s="10" t="s">
        <v>207</v>
      </c>
    </row>
    <row r="20" spans="2:14">
      <c r="B20" s="36" t="s">
        <v>98</v>
      </c>
    </row>
    <row r="23" spans="2:14" ht="25.5" customHeight="1">
      <c r="B23" s="77" t="s">
        <v>162</v>
      </c>
      <c r="C23" s="76"/>
      <c r="D23" s="76"/>
      <c r="E23" s="76"/>
      <c r="F23" s="76"/>
      <c r="G23" s="76"/>
      <c r="H23" s="76"/>
      <c r="I23" s="76"/>
      <c r="J23" s="76"/>
      <c r="K23" s="76"/>
      <c r="L23" s="76"/>
      <c r="M23" s="76"/>
      <c r="N23" s="76"/>
    </row>
    <row r="24" spans="2:14">
      <c r="B24" s="24"/>
      <c r="C24" s="25"/>
      <c r="D24" s="25"/>
      <c r="E24" s="25"/>
      <c r="F24" s="25"/>
      <c r="G24" s="25"/>
      <c r="H24" s="25"/>
      <c r="I24" s="25"/>
      <c r="J24" s="25"/>
      <c r="K24" s="25"/>
      <c r="L24" s="25"/>
      <c r="M24" s="25"/>
      <c r="N24" s="25"/>
    </row>
    <row r="25" spans="2:14" ht="39" customHeight="1">
      <c r="B25" s="90" t="s">
        <v>209</v>
      </c>
      <c r="C25" s="76"/>
      <c r="D25" s="76"/>
      <c r="E25" s="76"/>
      <c r="F25" s="76"/>
      <c r="G25" s="76"/>
      <c r="H25" s="76"/>
      <c r="I25" s="76"/>
      <c r="J25" s="76"/>
      <c r="K25" s="76"/>
      <c r="L25" s="76"/>
      <c r="M25" s="76"/>
      <c r="N25" s="76"/>
    </row>
    <row r="26" spans="2:14">
      <c r="B26" s="24"/>
      <c r="C26" s="25"/>
      <c r="D26" s="25"/>
      <c r="E26" s="25"/>
      <c r="F26" s="25"/>
      <c r="G26" s="25"/>
      <c r="H26" s="25"/>
      <c r="I26" s="25"/>
      <c r="J26" s="25"/>
      <c r="K26" s="25"/>
      <c r="L26" s="25"/>
      <c r="M26" s="25"/>
      <c r="N26" s="25"/>
    </row>
    <row r="27" spans="2:14" ht="28.5" customHeight="1">
      <c r="B27" s="90" t="s">
        <v>208</v>
      </c>
      <c r="C27" s="76"/>
      <c r="D27" s="76"/>
      <c r="E27" s="76"/>
      <c r="F27" s="76"/>
      <c r="G27" s="76"/>
      <c r="H27" s="76"/>
      <c r="I27" s="76"/>
      <c r="J27" s="76"/>
      <c r="K27" s="76"/>
      <c r="L27" s="76"/>
      <c r="M27" s="76"/>
      <c r="N27" s="76"/>
    </row>
    <row r="29" spans="2:14" ht="42" customHeight="1">
      <c r="B29" s="69" t="s">
        <v>187</v>
      </c>
      <c r="C29" s="67"/>
      <c r="D29" s="67"/>
      <c r="E29" s="67"/>
      <c r="F29" s="67"/>
      <c r="G29" s="67"/>
      <c r="H29" s="67"/>
      <c r="I29" s="67"/>
      <c r="J29" s="67"/>
      <c r="K29" s="67"/>
      <c r="L29" s="67"/>
      <c r="M29" s="67"/>
      <c r="N29" s="67"/>
    </row>
  </sheetData>
  <mergeCells count="4">
    <mergeCell ref="B23:N23"/>
    <mergeCell ref="B25:N25"/>
    <mergeCell ref="B27:N27"/>
    <mergeCell ref="B29:N2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2:Q15"/>
  <sheetViews>
    <sheetView showGridLines="0" workbookViewId="0">
      <selection activeCell="C44" sqref="C44"/>
    </sheetView>
  </sheetViews>
  <sheetFormatPr defaultRowHeight="15"/>
  <cols>
    <col min="2" max="2" width="13.85546875" customWidth="1"/>
    <col min="5" max="5" width="9.85546875" customWidth="1"/>
    <col min="9" max="9" width="9.85546875" customWidth="1"/>
    <col min="13" max="13" width="10" customWidth="1"/>
    <col min="17" max="17" width="9.7109375" customWidth="1"/>
  </cols>
  <sheetData>
    <row r="2" spans="2:17">
      <c r="B2" s="10" t="s">
        <v>27</v>
      </c>
    </row>
    <row r="3" spans="2:17" ht="15" customHeight="1">
      <c r="B3" s="78" t="s">
        <v>0</v>
      </c>
      <c r="C3" s="79" t="s">
        <v>15</v>
      </c>
      <c r="D3" s="80"/>
      <c r="E3" s="80"/>
      <c r="F3" s="80"/>
      <c r="G3" s="80"/>
      <c r="H3" s="80"/>
      <c r="I3" s="80"/>
      <c r="J3" s="80"/>
      <c r="K3" s="80"/>
      <c r="L3" s="80"/>
      <c r="M3" s="80"/>
      <c r="N3" s="80"/>
      <c r="O3" s="80"/>
      <c r="P3" s="80"/>
      <c r="Q3" s="74"/>
    </row>
    <row r="4" spans="2:17" ht="36">
      <c r="B4" s="78"/>
      <c r="C4" s="38" t="s">
        <v>16</v>
      </c>
      <c r="D4" s="38" t="s">
        <v>17</v>
      </c>
      <c r="E4" s="38" t="s">
        <v>18</v>
      </c>
      <c r="F4" s="38" t="s">
        <v>19</v>
      </c>
      <c r="G4" s="38" t="s">
        <v>20</v>
      </c>
      <c r="H4" s="38" t="s">
        <v>21</v>
      </c>
      <c r="I4" s="38" t="s">
        <v>22</v>
      </c>
      <c r="J4" s="38" t="s">
        <v>23</v>
      </c>
      <c r="K4" s="38" t="s">
        <v>24</v>
      </c>
      <c r="L4" s="38" t="s">
        <v>25</v>
      </c>
      <c r="M4" s="38" t="s">
        <v>75</v>
      </c>
      <c r="N4" s="38" t="s">
        <v>110</v>
      </c>
      <c r="O4" s="38" t="s">
        <v>114</v>
      </c>
      <c r="P4" s="38" t="s">
        <v>120</v>
      </c>
      <c r="Q4" s="38" t="s">
        <v>163</v>
      </c>
    </row>
    <row r="5" spans="2:17">
      <c r="B5" s="3" t="s">
        <v>115</v>
      </c>
      <c r="C5" s="11">
        <v>78.709999999999994</v>
      </c>
      <c r="D5" s="11">
        <f>592/73898*10000</f>
        <v>80.110422474221224</v>
      </c>
      <c r="E5" s="11">
        <f>629/73898*10000</f>
        <v>85.117323878860063</v>
      </c>
      <c r="F5" s="11">
        <f>553/73898*10000</f>
        <v>74.832877750412734</v>
      </c>
      <c r="G5" s="11">
        <f>555/73898*10000</f>
        <v>75.103521069582399</v>
      </c>
      <c r="H5" s="11">
        <f>545/73923*10000</f>
        <v>73.725362877588836</v>
      </c>
      <c r="I5" s="11">
        <f>549/73923*10000</f>
        <v>74.266466458341796</v>
      </c>
      <c r="J5" s="11">
        <f>511/73923*10000</f>
        <v>69.125982441188796</v>
      </c>
      <c r="K5" s="11">
        <f>474/73923*10000</f>
        <v>64.120774319224054</v>
      </c>
      <c r="L5" s="12">
        <f>447/74910*10000</f>
        <v>59.67160592711253</v>
      </c>
      <c r="M5" s="12">
        <f>436/74910*10000</f>
        <v>58.203177145908427</v>
      </c>
      <c r="N5" s="12">
        <f>462/74910*10000</f>
        <v>61.674008810572687</v>
      </c>
      <c r="O5" s="12">
        <f>424/74910*10000</f>
        <v>56.601254839140303</v>
      </c>
      <c r="P5" s="12">
        <f>378/74910*10000</f>
        <v>50.460552663195834</v>
      </c>
      <c r="Q5" s="12">
        <f>387/74910*10000</f>
        <v>51.661994393271925</v>
      </c>
    </row>
    <row r="6" spans="2:17">
      <c r="B6" s="3" t="s">
        <v>116</v>
      </c>
      <c r="C6" s="11">
        <v>34.03</v>
      </c>
      <c r="D6" s="11">
        <f>409/108893*10000</f>
        <v>37.559806415472067</v>
      </c>
      <c r="E6" s="11">
        <f>430/108893*10000</f>
        <v>39.488305033381387</v>
      </c>
      <c r="F6" s="11">
        <f>418/108893*10000</f>
        <v>38.386305823147495</v>
      </c>
      <c r="G6" s="11">
        <f>452/108893*10000</f>
        <v>41.508636918810204</v>
      </c>
      <c r="H6" s="11">
        <f>407/108979*10000</f>
        <v>37.346644766422891</v>
      </c>
      <c r="I6" s="11">
        <f>393/108979*10000</f>
        <v>36.061993595096304</v>
      </c>
      <c r="J6" s="11">
        <f>424/108979*10000</f>
        <v>38.906578331605175</v>
      </c>
      <c r="K6" s="11">
        <f>458/108979*10000</f>
        <v>42.026445461969743</v>
      </c>
      <c r="L6" s="12">
        <f>474/108657*10000</f>
        <v>43.623512521052483</v>
      </c>
      <c r="M6" s="12">
        <f>534/108657*10000</f>
        <v>49.1454761313123</v>
      </c>
      <c r="N6" s="12">
        <f>560/108657*10000</f>
        <v>51.538327029091541</v>
      </c>
      <c r="O6" s="12">
        <f>525/108657*10000</f>
        <v>48.317181589773327</v>
      </c>
      <c r="P6" s="12">
        <f>436/108657*10000</f>
        <v>40.126268901221273</v>
      </c>
      <c r="Q6" s="12">
        <f>438/108657*10000</f>
        <v>40.310334354896597</v>
      </c>
    </row>
    <row r="7" spans="2:17">
      <c r="B7" s="3" t="s">
        <v>117</v>
      </c>
      <c r="C7" s="11">
        <v>87.51</v>
      </c>
      <c r="D7" s="11">
        <f>757/80670*10000</f>
        <v>93.839097557952158</v>
      </c>
      <c r="E7" s="11">
        <f>758/80670*10000</f>
        <v>93.963059377711673</v>
      </c>
      <c r="F7" s="11">
        <f>677/80670*10000</f>
        <v>83.922151977191035</v>
      </c>
      <c r="G7" s="11">
        <f>686/80670*10000</f>
        <v>85.037808355026655</v>
      </c>
      <c r="H7" s="11">
        <f>620/80701*10000</f>
        <v>76.826805120134821</v>
      </c>
      <c r="I7" s="11">
        <f>590/80701*10000</f>
        <v>73.109379065934746</v>
      </c>
      <c r="J7" s="11">
        <f>567/80701*10000</f>
        <v>70.259352424381362</v>
      </c>
      <c r="K7" s="11">
        <f>529/80701*10000</f>
        <v>65.55061275572794</v>
      </c>
      <c r="L7" s="12">
        <f>462/80781*10000</f>
        <v>57.191666357187955</v>
      </c>
      <c r="M7" s="12">
        <f>466/80781*10000</f>
        <v>57.686832299674428</v>
      </c>
      <c r="N7" s="12">
        <f>401/80781*10000</f>
        <v>49.640385734269195</v>
      </c>
      <c r="O7" s="12">
        <f>402/80781*10000</f>
        <v>49.764177219890819</v>
      </c>
      <c r="P7" s="12">
        <f>359/80781*10000</f>
        <v>44.441143338161204</v>
      </c>
      <c r="Q7" s="12">
        <f>399/80781*10000</f>
        <v>49.392802763025962</v>
      </c>
    </row>
    <row r="8" spans="2:17">
      <c r="B8" s="3" t="s">
        <v>118</v>
      </c>
      <c r="C8" s="11">
        <v>50.88</v>
      </c>
      <c r="D8" s="11">
        <f>460/92162*10000</f>
        <v>49.912111282307244</v>
      </c>
      <c r="E8" s="11">
        <f>498/92162*10000</f>
        <v>54.035285692584793</v>
      </c>
      <c r="F8" s="11">
        <f>518/92162*10000</f>
        <v>56.205377487467722</v>
      </c>
      <c r="G8" s="11">
        <f>473/92162*10000</f>
        <v>51.322670948981141</v>
      </c>
      <c r="H8" s="11">
        <f>413/93056*10000</f>
        <v>44.381877579092162</v>
      </c>
      <c r="I8" s="11">
        <f>391/93056*10000</f>
        <v>42.017709766162312</v>
      </c>
      <c r="J8" s="11">
        <f>384/93056*10000</f>
        <v>41.265474552957357</v>
      </c>
      <c r="K8" s="11">
        <f>363/93056*10000</f>
        <v>39.008768913342507</v>
      </c>
      <c r="L8" s="12">
        <f>341/93000*10000</f>
        <v>36.666666666666664</v>
      </c>
      <c r="M8" s="12">
        <f>338/93000*10000</f>
        <v>36.344086021505376</v>
      </c>
      <c r="N8" s="12">
        <f>303/93000*10000</f>
        <v>32.58064516129032</v>
      </c>
      <c r="O8" s="12">
        <f>313/93000*10000</f>
        <v>33.655913978494624</v>
      </c>
      <c r="P8" s="12">
        <f>316/93000*10000</f>
        <v>33.978494623655912</v>
      </c>
      <c r="Q8" s="12">
        <f>369/93000*10000</f>
        <v>39.677419354838712</v>
      </c>
    </row>
    <row r="9" spans="2:17">
      <c r="B9" s="3" t="s">
        <v>119</v>
      </c>
      <c r="C9" s="11">
        <v>29.88</v>
      </c>
      <c r="D9" s="11">
        <f>209/76164*10000</f>
        <v>27.440785673021377</v>
      </c>
      <c r="E9" s="11">
        <f>218/76164*10000</f>
        <v>28.622446300089283</v>
      </c>
      <c r="F9" s="11">
        <f>212/76164*10000</f>
        <v>27.834672548710678</v>
      </c>
      <c r="G9" s="11">
        <f>235/76164*10000</f>
        <v>30.854471928995327</v>
      </c>
      <c r="H9" s="11">
        <f>230/76009*10000</f>
        <v>30.259574524069517</v>
      </c>
      <c r="I9" s="11">
        <f>297/76009*10000</f>
        <v>39.074320146298469</v>
      </c>
      <c r="J9" s="11">
        <f>287/76009*10000</f>
        <v>37.758686471338919</v>
      </c>
      <c r="K9" s="11">
        <f>303/76009*10000</f>
        <v>39.86370035127419</v>
      </c>
      <c r="L9" s="12">
        <f>261/74226*10000</f>
        <v>35.16288093121009</v>
      </c>
      <c r="M9" s="12">
        <f>266/74226*10000</f>
        <v>35.836499339853958</v>
      </c>
      <c r="N9" s="12">
        <f>283/74226*10000</f>
        <v>38.126801929243122</v>
      </c>
      <c r="O9" s="12">
        <f>297/74226*10000</f>
        <v>40.012933473445962</v>
      </c>
      <c r="P9" s="12">
        <f>301/74226*10000</f>
        <v>40.551828200361058</v>
      </c>
      <c r="Q9" s="12">
        <f>340/74226*10000</f>
        <v>45.806051787783254</v>
      </c>
    </row>
    <row r="10" spans="2:17">
      <c r="B10" s="7" t="s">
        <v>14</v>
      </c>
      <c r="C10" s="9">
        <v>54.55</v>
      </c>
      <c r="D10" s="9">
        <f>2427/431787*10000</f>
        <v>56.208269355029216</v>
      </c>
      <c r="E10" s="9">
        <f>2533/431787*10000</f>
        <v>58.663183467774623</v>
      </c>
      <c r="F10" s="9">
        <f>2378/431787*10000</f>
        <v>55.073450567061997</v>
      </c>
      <c r="G10" s="9">
        <f>2401/431787*10000</f>
        <v>55.606120610393553</v>
      </c>
      <c r="H10" s="9">
        <f>2215/432668*10000</f>
        <v>51.193987075540605</v>
      </c>
      <c r="I10" s="9">
        <f>2220/432668*10000</f>
        <v>51.309549123115183</v>
      </c>
      <c r="J10" s="9">
        <f>2173/432668*10000</f>
        <v>50.223265875914095</v>
      </c>
      <c r="K10" s="9">
        <f>2127/432668*10000</f>
        <v>49.160095038227922</v>
      </c>
      <c r="L10" s="9">
        <f>1985/431574*10000</f>
        <v>45.994429692242811</v>
      </c>
      <c r="M10" s="9">
        <f>2040/431574*10000</f>
        <v>47.268834545176496</v>
      </c>
      <c r="N10" s="9">
        <f>2009/431574*10000</f>
        <v>46.550533628068422</v>
      </c>
      <c r="O10" s="9">
        <f>1961/431574*10000</f>
        <v>45.438325756417214</v>
      </c>
      <c r="P10" s="9">
        <f>1790/431574*10000</f>
        <v>41.476085213659772</v>
      </c>
      <c r="Q10" s="9">
        <f>1934/431574*10000</f>
        <v>44.812708828613403</v>
      </c>
    </row>
    <row r="11" spans="2:17" ht="13.5" customHeight="1">
      <c r="B11" s="36" t="s">
        <v>98</v>
      </c>
    </row>
    <row r="12" spans="2:17" ht="11.25" customHeight="1">
      <c r="B12" s="35" t="s">
        <v>113</v>
      </c>
    </row>
    <row r="13" spans="2:17" ht="12.75" customHeight="1">
      <c r="B13" s="35" t="s">
        <v>111</v>
      </c>
    </row>
    <row r="14" spans="2:17" ht="17.25" customHeight="1"/>
    <row r="15" spans="2:17" ht="36.75" customHeight="1">
      <c r="B15" s="76"/>
      <c r="C15" s="76"/>
      <c r="D15" s="76"/>
      <c r="E15" s="76"/>
      <c r="F15" s="76"/>
      <c r="G15" s="76"/>
      <c r="H15" s="76"/>
      <c r="I15" s="76"/>
      <c r="J15" s="76"/>
      <c r="K15" s="76"/>
      <c r="L15" s="76"/>
      <c r="M15" s="76"/>
    </row>
  </sheetData>
  <mergeCells count="3">
    <mergeCell ref="B3:B4"/>
    <mergeCell ref="B15:M15"/>
    <mergeCell ref="C3:Q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B2:N26"/>
  <sheetViews>
    <sheetView showGridLines="0" showRowColHeaders="0" workbookViewId="0">
      <selection activeCell="C51" sqref="C51"/>
    </sheetView>
  </sheetViews>
  <sheetFormatPr defaultRowHeight="15"/>
  <sheetData>
    <row r="2" spans="2:2">
      <c r="B2" s="10" t="s">
        <v>210</v>
      </c>
    </row>
    <row r="22" spans="2:14">
      <c r="B22" s="36" t="s">
        <v>98</v>
      </c>
    </row>
    <row r="24" spans="2:14" ht="30.75" customHeight="1">
      <c r="B24" s="75" t="s">
        <v>188</v>
      </c>
      <c r="C24" s="76"/>
      <c r="D24" s="76"/>
      <c r="E24" s="76"/>
      <c r="F24" s="76"/>
      <c r="G24" s="76"/>
      <c r="H24" s="76"/>
      <c r="I24" s="76"/>
      <c r="J24" s="76"/>
      <c r="K24" s="76"/>
      <c r="L24" s="76"/>
      <c r="M24" s="76"/>
      <c r="N24" s="76"/>
    </row>
    <row r="26" spans="2:14">
      <c r="B26" s="27"/>
      <c r="C26" s="28"/>
      <c r="D26" s="28"/>
      <c r="E26" s="28"/>
      <c r="F26" s="28"/>
      <c r="G26" s="28"/>
      <c r="H26" s="28"/>
      <c r="I26" s="28"/>
      <c r="J26" s="28"/>
      <c r="K26" s="28"/>
      <c r="L26" s="28"/>
      <c r="M26" s="28"/>
    </row>
  </sheetData>
  <mergeCells count="1">
    <mergeCell ref="B24:N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27</vt:i4>
      </vt:variant>
    </vt:vector>
  </HeadingPairs>
  <TitlesOfParts>
    <vt:vector size="27" baseType="lpstr">
      <vt:lpstr>Title</vt:lpstr>
      <vt:lpstr>Metadata</vt:lpstr>
      <vt:lpstr>Contents</vt:lpstr>
      <vt:lpstr>Overview</vt:lpstr>
      <vt:lpstr>Table 1.1</vt:lpstr>
      <vt:lpstr>Figure 3</vt:lpstr>
      <vt:lpstr>Figure 4</vt:lpstr>
      <vt:lpstr>Table 1.2</vt:lpstr>
      <vt:lpstr>Figure 5</vt:lpstr>
      <vt:lpstr>Table 1.3</vt:lpstr>
      <vt:lpstr>Figure 6</vt:lpstr>
      <vt:lpstr>Table 1.4</vt:lpstr>
      <vt:lpstr>Figure 7</vt:lpstr>
      <vt:lpstr>Table 1.5</vt:lpstr>
      <vt:lpstr>Figure 8</vt:lpstr>
      <vt:lpstr>Figure 9</vt:lpstr>
      <vt:lpstr>Table 1.6</vt:lpstr>
      <vt:lpstr>Figure 10</vt:lpstr>
      <vt:lpstr>Appendix</vt:lpstr>
      <vt:lpstr>Figure 11</vt:lpstr>
      <vt:lpstr>Figure 12</vt:lpstr>
      <vt:lpstr>Figure 13</vt:lpstr>
      <vt:lpstr>Figure 14</vt:lpstr>
      <vt:lpstr>Figure 15</vt:lpstr>
      <vt:lpstr>Figure 16</vt:lpstr>
      <vt:lpstr>Figure 17</vt:lpstr>
      <vt:lpstr>Figure 18</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 Waugh</dc:creator>
  <cp:lastModifiedBy>Iain Waugh</cp:lastModifiedBy>
  <dcterms:created xsi:type="dcterms:W3CDTF">2012-07-27T13:37:05Z</dcterms:created>
  <dcterms:modified xsi:type="dcterms:W3CDTF">2013-11-19T10:55:33Z</dcterms:modified>
</cp:coreProperties>
</file>